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0" windowHeight="7500" tabRatio="926" activeTab="1"/>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2" sheetId="78" r:id="rId22"/>
    <sheet name="参13" sheetId="79" r:id="rId23"/>
    <sheet name="参14" sheetId="80" r:id="rId24"/>
    <sheet name="活動記録（参考） " sheetId="107" r:id="rId25"/>
    <sheet name="【選択肢】" sheetId="108" r:id="rId26"/>
    <sheet name="支出に係る届出" sheetId="93" r:id="rId27"/>
    <sheet name="実施状況報告（様式2）" sheetId="106" r:id="rId28"/>
  </sheets>
  <externalReferences>
    <externalReference r:id="rId29"/>
    <externalReference r:id="rId30"/>
    <externalReference r:id="rId31"/>
    <externalReference r:id="rId32"/>
    <externalReference r:id="rId33"/>
    <externalReference r:id="rId34"/>
    <externalReference r:id="rId35"/>
    <externalReference r:id="rId36"/>
  </externalReferences>
  <definedNames>
    <definedName name="_0109集落協定の概要等" localSheetId="27">#REF!</definedName>
    <definedName name="_0109集落協定の概要等" localSheetId="12">#REF!</definedName>
    <definedName name="_0109集落協定の概要等">#REF!</definedName>
    <definedName name="_109集落協定の概要等" localSheetId="27">#REF!</definedName>
    <definedName name="_109集落協定の概要等" localSheetId="12">#REF!</definedName>
    <definedName name="_109集落協定の概要等">#REF!</definedName>
    <definedName name="_111集落協定参加者の内訳等" localSheetId="27">[1]ｸｴﾘ403!#REF!</definedName>
    <definedName name="_111集落協定参加者の内訳等" localSheetId="12">[1]ｸｴﾘ403!#REF!</definedName>
    <definedName name="_111集落協定参加者の内訳等">[1]ｸｴﾘ403!#REF!</definedName>
    <definedName name="_xlnm._FilterDatabase" localSheetId="27" hidden="1">'実施状況報告（様式2）'!$A$14:$AD$15</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6">#REF!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3">[3]【選択肢】!$B$3:$B$4</definedName>
    <definedName name="B.○か空白" localSheetId="26">[3]【選択肢】!$B$3:$B$4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6">#REF!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6">#REF!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3">[5]【選択肢】!$D$3:$D$7</definedName>
    <definedName name="D.農村環境保全活動のテーマ" localSheetId="26">[5]【選択肢】!$D$3:$D$7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3">[5]【選択肢】!$E$3:$E$11</definedName>
    <definedName name="E.高度な保全活動" localSheetId="26">[5]【選択肢】!$E$3:$E$11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3">[5]【選択肢】!$F$3:$F$5</definedName>
    <definedName name="F.施設" localSheetId="26">[5]【選択肢】!$F$3:$F$5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3">[5]【選択肢】!$G$3:$G$4</definedName>
    <definedName name="G.単位" localSheetId="26">[5]【選択肢】!$G$3:$G$4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6">#REF!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6">#REF!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6">#REF!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6">#REF!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6">#REF!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3">[5]【選択肢】!$Q$44:$Q$56</definedName>
    <definedName name="K.農村環境保全活動" localSheetId="26">[5]【選択肢】!$Q$44:$Q$56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3">[5]【選択肢】!$R$57:$R$64</definedName>
    <definedName name="L.増進活動" localSheetId="26">[5]【選択肢】!$R$57:$R$64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3">[5]【選択肢】!$S$66:$S$71</definedName>
    <definedName name="M.長寿命化" localSheetId="26">[5]【選択肢】!$S$66:$S$71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25">【選択肢】!$K$1:$T$90</definedName>
    <definedName name="_xlnm.Print_Area" localSheetId="0">はじめに!$A$1:$G$58</definedName>
    <definedName name="_xlnm.Print_Area" localSheetId="21">参12!$A$1:$AG$19</definedName>
    <definedName name="_xlnm.Print_Area" localSheetId="22">参13!$A$1:$AG$34</definedName>
    <definedName name="_xlnm.Print_Area" localSheetId="23">参14!$A$1:$AG$23</definedName>
    <definedName name="_xlnm.Print_Area" localSheetId="3">参４_申請!$A$1:$F$29</definedName>
    <definedName name="_xlnm.Print_Area" localSheetId="4">参４_申請_事業計画!$A$1:$H$52</definedName>
    <definedName name="_xlnm.Print_Area" localSheetId="26">支出に係る届出!$A$1:$AG$36</definedName>
    <definedName name="_xlnm.Print_Area" localSheetId="27">'実施状況報告（様式2）'!$A$2:$AD$15</definedName>
    <definedName name="_xlnm.Print_Area" localSheetId="5">別紙１①!$A$1:$T$69</definedName>
    <definedName name="_xlnm.Print_Area" localSheetId="7">別紙１③!$A$1:$N$60</definedName>
    <definedName name="_xlnm.Print_Area" localSheetId="8">別紙１④!$A$1:$X$287</definedName>
    <definedName name="_xlnm.Print_Area" localSheetId="1">別紙２①!$A$1:$T$99</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別紙６!$A$1:$AG$78</definedName>
    <definedName name="_xlnm.Print_Area" localSheetId="13">別紙７!$A$1:$Q$88</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1">別紙２①!$12:$17</definedName>
    <definedName name="_xlnm.Print_Titles" localSheetId="13">別紙７!$1:$5</definedName>
    <definedName name="Range1">#REF!,#REF!,#REF!</definedName>
    <definedName name="Range2">#REF!,#REF!,#REF!,#REF!,#REF!,#REF!,#REF!</definedName>
    <definedName name="Range3">#REF!,#REF!,#REF!</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27">[6]市町村名!$A$2:$A$48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58" l="1"/>
  <c r="H53" i="58" l="1"/>
  <c r="I53" i="58" s="1"/>
  <c r="H52" i="58"/>
  <c r="I52" i="58" s="1"/>
  <c r="H51" i="58"/>
  <c r="I51" i="58" s="1"/>
  <c r="H50" i="58"/>
  <c r="I50" i="58" s="1"/>
  <c r="H49" i="58"/>
  <c r="I49" i="58" s="1"/>
  <c r="H48" i="58"/>
  <c r="I48" i="58" s="1"/>
  <c r="H47" i="58"/>
  <c r="I47" i="58" s="1"/>
  <c r="H46" i="58"/>
  <c r="I46" i="58" s="1"/>
  <c r="H45" i="58"/>
  <c r="I45" i="58" s="1"/>
  <c r="H44" i="58"/>
  <c r="I44" i="58" s="1"/>
  <c r="H43" i="58"/>
  <c r="I43" i="58" s="1"/>
  <c r="H42" i="58"/>
  <c r="I42" i="58" s="1"/>
  <c r="H41" i="58"/>
  <c r="I41" i="58" s="1"/>
  <c r="H40" i="58"/>
  <c r="I40" i="58" s="1"/>
  <c r="H39" i="58"/>
  <c r="I39" i="58" s="1"/>
  <c r="H38" i="58"/>
  <c r="I38" i="58" s="1"/>
  <c r="H37" i="58"/>
  <c r="I37" i="58" s="1"/>
  <c r="H36" i="58"/>
  <c r="I36" i="58" s="1"/>
  <c r="H35" i="58"/>
  <c r="I35" i="58" s="1"/>
  <c r="H34" i="58"/>
  <c r="I34" i="58" s="1"/>
  <c r="H33" i="58"/>
  <c r="I33" i="58" s="1"/>
  <c r="H32" i="58"/>
  <c r="I32" i="58" s="1"/>
  <c r="H31" i="58"/>
  <c r="I31" i="58" s="1"/>
  <c r="H30" i="58"/>
  <c r="I30" i="58" s="1"/>
  <c r="H8" i="58" l="1"/>
  <c r="H9" i="58"/>
  <c r="H10" i="58"/>
  <c r="H11" i="58"/>
  <c r="H12" i="58"/>
  <c r="H13" i="58"/>
  <c r="H14" i="58"/>
  <c r="H15" i="58"/>
  <c r="H16" i="58"/>
  <c r="H17" i="58"/>
  <c r="H18" i="58"/>
  <c r="H19" i="58"/>
  <c r="H20" i="58"/>
  <c r="H21" i="58"/>
  <c r="H22" i="58"/>
  <c r="H23" i="58"/>
  <c r="H24" i="58"/>
  <c r="H25" i="58"/>
  <c r="H26" i="58"/>
  <c r="H27" i="58"/>
  <c r="H28" i="58"/>
  <c r="H29" i="58"/>
  <c r="H54" i="58"/>
  <c r="H55" i="58"/>
  <c r="H56" i="58"/>
  <c r="H57" i="58"/>
  <c r="H58" i="58"/>
  <c r="H59" i="58"/>
  <c r="H60" i="58"/>
  <c r="H7" i="58"/>
  <c r="H6" i="58"/>
  <c r="G64" i="58" l="1"/>
  <c r="G63" i="58"/>
  <c r="F11" i="74"/>
  <c r="F11" i="73"/>
  <c r="P10" i="107" l="1"/>
  <c r="G10" i="107"/>
  <c r="N11" i="107"/>
  <c r="N12" i="107"/>
  <c r="N13" i="107"/>
  <c r="N14" i="107"/>
  <c r="N15" i="107"/>
  <c r="N16" i="107"/>
  <c r="N17" i="107"/>
  <c r="N18" i="107"/>
  <c r="N19" i="107"/>
  <c r="N20" i="107"/>
  <c r="N21" i="107"/>
  <c r="N22" i="107"/>
  <c r="N23" i="107"/>
  <c r="N24" i="107"/>
  <c r="N10" i="107"/>
  <c r="P85" i="108"/>
  <c r="P84" i="108"/>
  <c r="P83" i="108"/>
  <c r="P82" i="108"/>
  <c r="P81" i="108"/>
  <c r="P80" i="108"/>
  <c r="P79" i="108"/>
  <c r="P78" i="108"/>
  <c r="P77" i="108"/>
  <c r="P76" i="108"/>
  <c r="P75" i="108"/>
  <c r="P74" i="108"/>
  <c r="P73" i="108"/>
  <c r="P72" i="108"/>
  <c r="P71" i="108"/>
  <c r="P70" i="108"/>
  <c r="P69" i="108"/>
  <c r="P68" i="108"/>
  <c r="P67" i="108"/>
  <c r="P66" i="108"/>
  <c r="P65" i="108"/>
  <c r="P64" i="108"/>
  <c r="P63" i="108"/>
  <c r="P62" i="108"/>
  <c r="P61" i="108"/>
  <c r="P60" i="108"/>
  <c r="P59" i="108"/>
  <c r="P58" i="108"/>
  <c r="P57" i="108"/>
  <c r="P56" i="108"/>
  <c r="P55" i="108"/>
  <c r="P54" i="108"/>
  <c r="P53" i="108"/>
  <c r="P52" i="108"/>
  <c r="P51" i="108"/>
  <c r="P50" i="108"/>
  <c r="P49" i="108"/>
  <c r="P48" i="108"/>
  <c r="P47" i="108"/>
  <c r="P46" i="108"/>
  <c r="P45" i="108"/>
  <c r="P44" i="108"/>
  <c r="P43" i="108"/>
  <c r="P42" i="108"/>
  <c r="P41" i="108"/>
  <c r="P40" i="108"/>
  <c r="P39" i="108"/>
  <c r="P38" i="108"/>
  <c r="P37" i="108"/>
  <c r="P36" i="108"/>
  <c r="P35" i="108"/>
  <c r="P34" i="108"/>
  <c r="P33" i="108"/>
  <c r="P32" i="108"/>
  <c r="P31" i="108"/>
  <c r="P30" i="108"/>
  <c r="P29" i="108"/>
  <c r="P28" i="108"/>
  <c r="P27" i="108"/>
  <c r="P26" i="108"/>
  <c r="P25" i="108"/>
  <c r="P24" i="108"/>
  <c r="P23" i="108"/>
  <c r="P22" i="108"/>
  <c r="P21" i="108"/>
  <c r="P20" i="108"/>
  <c r="P19" i="108"/>
  <c r="P18" i="108"/>
  <c r="P17" i="108"/>
  <c r="P16" i="108"/>
  <c r="P15" i="108"/>
  <c r="P14" i="108"/>
  <c r="P13" i="108"/>
  <c r="P12" i="108"/>
  <c r="P11" i="108"/>
  <c r="P10" i="108"/>
  <c r="P9" i="108"/>
  <c r="P8" i="108"/>
  <c r="P7" i="108"/>
  <c r="P6" i="108"/>
  <c r="Q2" i="107"/>
  <c r="F28" i="107"/>
  <c r="E28" i="107"/>
  <c r="P24" i="107"/>
  <c r="O24" i="107"/>
  <c r="G24" i="107"/>
  <c r="P23" i="107"/>
  <c r="O23" i="107"/>
  <c r="G23" i="107"/>
  <c r="P22" i="107"/>
  <c r="O22" i="107"/>
  <c r="G22" i="107"/>
  <c r="P21" i="107"/>
  <c r="O21" i="107"/>
  <c r="G21" i="107"/>
  <c r="P20" i="107"/>
  <c r="O20" i="107"/>
  <c r="G20" i="107"/>
  <c r="P19" i="107"/>
  <c r="O19" i="107"/>
  <c r="G19" i="107"/>
  <c r="P18" i="107"/>
  <c r="O18" i="107"/>
  <c r="G18" i="107"/>
  <c r="P17" i="107"/>
  <c r="O17" i="107"/>
  <c r="G17" i="107"/>
  <c r="P16" i="107"/>
  <c r="O16" i="107"/>
  <c r="G16" i="107"/>
  <c r="P15" i="107"/>
  <c r="O15" i="107"/>
  <c r="G15" i="107"/>
  <c r="P14" i="107"/>
  <c r="O14" i="107"/>
  <c r="G14" i="107"/>
  <c r="P13" i="107"/>
  <c r="O13" i="107"/>
  <c r="G13" i="107"/>
  <c r="P12" i="107"/>
  <c r="O12" i="107"/>
  <c r="G12" i="107"/>
  <c r="P11" i="107"/>
  <c r="O11" i="107"/>
  <c r="G11" i="107"/>
  <c r="O10" i="107"/>
  <c r="G28" i="107" l="1"/>
  <c r="I7" i="58" l="1"/>
  <c r="I8" i="58"/>
  <c r="I9" i="58"/>
  <c r="I10" i="58"/>
  <c r="I11" i="58"/>
  <c r="I12" i="58"/>
  <c r="I13" i="58"/>
  <c r="I14" i="58"/>
  <c r="I15" i="58"/>
  <c r="I16" i="58"/>
  <c r="I17" i="58"/>
  <c r="I18" i="58"/>
  <c r="I19" i="58"/>
  <c r="I20" i="58"/>
  <c r="I21" i="58"/>
  <c r="I22" i="58"/>
  <c r="I23" i="58"/>
  <c r="I24" i="58"/>
  <c r="I25" i="58"/>
  <c r="I26" i="58"/>
  <c r="I27" i="58"/>
  <c r="I28" i="58"/>
  <c r="I29" i="58"/>
  <c r="I54" i="58"/>
  <c r="I55" i="58"/>
  <c r="I56" i="58"/>
  <c r="I57" i="58"/>
  <c r="I58" i="58"/>
  <c r="I59" i="58"/>
  <c r="I60" i="58"/>
  <c r="I6" i="58"/>
  <c r="V54" i="65"/>
  <c r="V53" i="65"/>
  <c r="V52" i="65"/>
  <c r="V51" i="65"/>
  <c r="V50" i="65"/>
  <c r="V49" i="65"/>
  <c r="V48" i="65"/>
  <c r="I64" i="58" l="1"/>
  <c r="I61" i="58"/>
  <c r="I63" i="58"/>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M2" i="106" s="1"/>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BA15" i="106" l="1"/>
  <c r="BA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DV13" i="106" l="1"/>
  <c r="DW13" i="106" s="1"/>
  <c r="DX13" i="106" s="1"/>
  <c r="DY13" i="106" s="1"/>
  <c r="DZ13" i="106" s="1"/>
  <c r="EA13" i="106" s="1"/>
  <c r="EB13" i="106" s="1"/>
  <c r="CM2" i="106"/>
  <c r="AE15" i="106"/>
  <c r="AF15" i="106"/>
  <c r="AF2" i="106" s="1"/>
  <c r="Z8" i="93"/>
  <c r="Z9" i="93"/>
  <c r="EC13" i="106" l="1"/>
  <c r="ED13" i="106" s="1"/>
  <c r="EE13" i="106" s="1"/>
  <c r="EF13" i="106" s="1"/>
  <c r="EG13" i="106" s="1"/>
  <c r="EH13" i="106" s="1"/>
  <c r="EI13" i="106" s="1"/>
  <c r="EJ13" i="106" s="1"/>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D21" i="24"/>
  <c r="D20" i="24"/>
  <c r="D3" i="25" s="1"/>
  <c r="D19" i="24"/>
  <c r="G13" i="24"/>
  <c r="G10" i="24"/>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66" i="65"/>
  <c r="V18" i="65"/>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H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MY13" i="106" l="1"/>
  <c r="MZ13" i="106" s="1"/>
  <c r="NA13" i="106" s="1"/>
  <c r="NB13" i="106" s="1"/>
  <c r="NC13" i="106" s="1"/>
  <c r="ND13" i="106" s="1"/>
  <c r="NE13" i="106" s="1"/>
  <c r="NF13" i="106" s="1"/>
  <c r="NG13" i="106" s="1"/>
  <c r="NH13" i="10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D15" i="69" l="1"/>
  <c r="D43" i="69"/>
  <c r="V20" i="65"/>
  <c r="V21" i="65"/>
  <c r="V22" i="65"/>
  <c r="V23" i="65"/>
  <c r="V24" i="65"/>
  <c r="V25" i="65"/>
  <c r="V26" i="65"/>
  <c r="V27" i="65"/>
  <c r="V28" i="65"/>
  <c r="V29" i="65"/>
  <c r="V30" i="65"/>
  <c r="V31" i="65"/>
  <c r="V32" i="65"/>
  <c r="V33" i="65"/>
  <c r="V34" i="65"/>
  <c r="V35" i="65"/>
  <c r="V36" i="65"/>
  <c r="V37" i="65"/>
  <c r="V38" i="65"/>
  <c r="V39" i="65"/>
  <c r="V40" i="65"/>
  <c r="V41" i="65"/>
  <c r="V42" i="65"/>
  <c r="V43" i="65"/>
  <c r="V44" i="65"/>
  <c r="V45" i="65"/>
  <c r="V46" i="65"/>
  <c r="V47" i="65"/>
  <c r="V55" i="65"/>
  <c r="V56" i="65"/>
  <c r="V57" i="65"/>
  <c r="V58" i="65"/>
  <c r="V59" i="65"/>
  <c r="V60" i="65"/>
  <c r="V61" i="65"/>
  <c r="V62" i="65"/>
  <c r="V63" i="65"/>
  <c r="V64" i="65"/>
  <c r="V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H8" i="65" l="1"/>
  <c r="HM15" i="106" l="1"/>
  <c r="HM2" i="106" s="1"/>
  <c r="F3" i="25"/>
  <c r="B3" i="25"/>
  <c r="O56" i="54" l="1"/>
  <c r="T56" i="54"/>
  <c r="E58" i="54"/>
  <c r="E56" i="54"/>
  <c r="J56" i="54"/>
  <c r="T71" i="54" l="1"/>
  <c r="A256" i="54" l="1"/>
  <c r="D49" i="69" l="1"/>
  <c r="D21" i="69"/>
  <c r="J52" i="65" l="1"/>
  <c r="K52" i="65" s="1"/>
  <c r="J48" i="65"/>
  <c r="K48" i="65" s="1"/>
  <c r="J51" i="65"/>
  <c r="K51" i="65" s="1"/>
  <c r="J49" i="65"/>
  <c r="K49" i="65" s="1"/>
  <c r="J54" i="65"/>
  <c r="K54" i="65" s="1"/>
  <c r="J50" i="65"/>
  <c r="K50" i="65" s="1"/>
  <c r="J53" i="65"/>
  <c r="K53" i="65" s="1"/>
  <c r="J38" i="65"/>
  <c r="A259" i="54"/>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J18" i="65" l="1"/>
  <c r="M56" i="54"/>
  <c r="N56" i="54" s="1"/>
  <c r="H56" i="54"/>
  <c r="I56" i="54" s="1"/>
  <c r="J21" i="65"/>
  <c r="K21" i="65" s="1"/>
  <c r="H59" i="54"/>
  <c r="I59" i="54" s="1"/>
  <c r="R56" i="54"/>
  <c r="S56" i="54" s="1"/>
  <c r="W56" i="54"/>
  <c r="X56" i="54" s="1"/>
  <c r="J64" i="65"/>
  <c r="K64" i="65" s="1"/>
  <c r="J56" i="65"/>
  <c r="K56" i="65" s="1"/>
  <c r="J63" i="65"/>
  <c r="K63" i="65" s="1"/>
  <c r="J42" i="65"/>
  <c r="K42" i="65" s="1"/>
  <c r="J62" i="65"/>
  <c r="K62" i="65" s="1"/>
  <c r="J59" i="65"/>
  <c r="K59" i="65" s="1"/>
  <c r="J57" i="65"/>
  <c r="K57" i="65" s="1"/>
  <c r="J47" i="65"/>
  <c r="K47" i="65" s="1"/>
  <c r="J61" i="65"/>
  <c r="K61" i="65" s="1"/>
  <c r="J60" i="65"/>
  <c r="K60" i="65" s="1"/>
  <c r="J55" i="65"/>
  <c r="K55" i="65" s="1"/>
  <c r="J46" i="65"/>
  <c r="K46" i="65" s="1"/>
  <c r="J58" i="65"/>
  <c r="K58" i="65" s="1"/>
  <c r="J45" i="65"/>
  <c r="K45" i="65" s="1"/>
  <c r="J44" i="65"/>
  <c r="K44" i="65" s="1"/>
  <c r="J43" i="65"/>
  <c r="K43" i="65" s="1"/>
  <c r="K48" i="24"/>
  <c r="E63" i="54"/>
  <c r="M48" i="24"/>
  <c r="H48" i="24"/>
  <c r="E48" i="24"/>
  <c r="J27" i="65"/>
  <c r="K27" i="65" s="1"/>
  <c r="J25" i="65"/>
  <c r="K25" i="65" s="1"/>
  <c r="H57" i="54"/>
  <c r="I57" i="54" s="1"/>
  <c r="J20" i="65"/>
  <c r="K20" i="65" s="1"/>
  <c r="K18" i="65"/>
  <c r="W58" i="54"/>
  <c r="X58" i="54" s="1"/>
  <c r="R60" i="54"/>
  <c r="S60" i="54" s="1"/>
  <c r="M60" i="54"/>
  <c r="N60" i="54" s="1"/>
  <c r="H58" i="54"/>
  <c r="I58" i="54" s="1"/>
  <c r="K38" i="65"/>
  <c r="J34" i="65"/>
  <c r="K34" i="65" s="1"/>
  <c r="J30" i="65"/>
  <c r="K30" i="65" s="1"/>
  <c r="J24" i="65"/>
  <c r="K24" i="65" s="1"/>
  <c r="W57" i="54"/>
  <c r="X57" i="54" s="1"/>
  <c r="R59" i="54"/>
  <c r="S59" i="54" s="1"/>
  <c r="M59" i="54"/>
  <c r="N59" i="54" s="1"/>
  <c r="H61" i="54"/>
  <c r="I61" i="54" s="1"/>
  <c r="J37" i="65"/>
  <c r="K37" i="65" s="1"/>
  <c r="J33" i="65"/>
  <c r="K33" i="65" s="1"/>
  <c r="J29" i="65"/>
  <c r="K29" i="65" s="1"/>
  <c r="J41" i="65"/>
  <c r="K41" i="65" s="1"/>
  <c r="W60" i="54"/>
  <c r="X60" i="54" s="1"/>
  <c r="R58" i="54"/>
  <c r="S58" i="54" s="1"/>
  <c r="R62" i="54"/>
  <c r="S62" i="54" s="1"/>
  <c r="M58" i="54"/>
  <c r="N58" i="54" s="1"/>
  <c r="H60" i="54"/>
  <c r="I60" i="54" s="1"/>
  <c r="J40" i="65"/>
  <c r="K40" i="65" s="1"/>
  <c r="J36" i="65"/>
  <c r="K36" i="65" s="1"/>
  <c r="J32" i="65"/>
  <c r="K32" i="65" s="1"/>
  <c r="J28" i="65"/>
  <c r="K28" i="65" s="1"/>
  <c r="J22" i="65"/>
  <c r="K22" i="65" s="1"/>
  <c r="J26" i="65"/>
  <c r="K26" i="65" s="1"/>
  <c r="W59" i="54"/>
  <c r="X59" i="54" s="1"/>
  <c r="R57" i="54"/>
  <c r="S57" i="54" s="1"/>
  <c r="R61" i="54"/>
  <c r="S61" i="54" s="1"/>
  <c r="M57" i="54"/>
  <c r="N57" i="54" s="1"/>
  <c r="M61" i="54"/>
  <c r="N61" i="54" s="1"/>
  <c r="J39" i="65"/>
  <c r="K39" i="65" s="1"/>
  <c r="J35" i="65"/>
  <c r="K35" i="65" s="1"/>
  <c r="J31" i="65"/>
  <c r="K31" i="65" s="1"/>
  <c r="J19" i="65"/>
  <c r="K19" i="65" s="1"/>
  <c r="J23" i="65"/>
  <c r="K23" i="65" s="1"/>
  <c r="O63" i="54"/>
  <c r="J47" i="24" s="1"/>
  <c r="T63" i="54"/>
  <c r="L47" i="24" s="1"/>
  <c r="J63" i="54"/>
  <c r="G47" i="24" s="1"/>
  <c r="N33" i="54"/>
  <c r="I63" i="54" l="1"/>
  <c r="D47" i="24"/>
  <c r="C63" i="54"/>
  <c r="S63" i="54"/>
  <c r="N63" i="54"/>
  <c r="X63" i="54"/>
  <c r="F15" i="73" l="1"/>
  <c r="KJ15" i="106" s="1"/>
  <c r="KJ2" i="106" s="1"/>
  <c r="F15" i="74"/>
  <c r="LS15" i="106" s="1"/>
  <c r="LS2" i="106" s="1"/>
  <c r="S47" i="24"/>
  <c r="DP15" i="106"/>
  <c r="U240" i="54"/>
  <c r="O47" i="24"/>
  <c r="J38" i="24"/>
  <c r="HN15" i="106" l="1"/>
  <c r="DP2" i="106"/>
  <c r="HN2" i="106" l="1"/>
  <c r="HT15" i="106"/>
  <c r="HT2" i="106" s="1"/>
  <c r="HP15" i="106"/>
  <c r="HP2" i="106" l="1"/>
  <c r="HQ2" i="106" s="1"/>
  <c r="HQ15" i="106"/>
  <c r="B64" i="24"/>
  <c r="H3" i="25"/>
</calcChain>
</file>

<file path=xl/comments1.xml><?xml version="1.0" encoding="utf-8"?>
<comments xmlns="http://schemas.openxmlformats.org/spreadsheetml/2006/main">
  <authors>
    <author>作成者</author>
  </authors>
  <commentList>
    <comment ref="J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K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66"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<sst xmlns="http://schemas.openxmlformats.org/spreadsheetml/2006/main" count="4744" uniqueCount="2128">
  <si>
    <t>中山間地域等直接支払交付金参考様式集（第6期対策）</t>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</si>
  <si>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</si>
  <si>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</si>
  <si>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　←　「都道府県」まで記入してください。</t>
    <rPh sb="4" eb="8">
      <t>トドウフケン</t>
    </rPh>
    <rPh sb="11" eb="13">
      <t>キニュウ</t>
    </rPh>
    <phoneticPr fontId="3"/>
  </si>
  <si>
    <t>市町村名</t>
    <rPh sb="0" eb="4">
      <t>シチョウソンメイ</t>
    </rPh>
    <phoneticPr fontId="3"/>
  </si>
  <si>
    <t>　←　「市町村」まで記入してください。</t>
    <rPh sb="4" eb="7">
      <t>シチョウソン</t>
    </rPh>
    <phoneticPr fontId="3"/>
  </si>
  <si>
    <t>協定名</t>
    <rPh sb="0" eb="2">
      <t>キョウテイ</t>
    </rPh>
    <rPh sb="2" eb="3">
      <t>メイ</t>
    </rPh>
    <phoneticPr fontId="3"/>
  </si>
  <si>
    <t>代表者名</t>
    <rPh sb="0" eb="3">
      <t>ダイヒョウシャ</t>
    </rPh>
    <rPh sb="3" eb="4">
      <t>メイ</t>
    </rPh>
    <phoneticPr fontId="3"/>
  </si>
  <si>
    <t>協定所在地</t>
    <rPh sb="0" eb="2">
      <t>キョウテイ</t>
    </rPh>
    <rPh sb="2" eb="5">
      <t>ショザイチ</t>
    </rPh>
    <phoneticPr fontId="3"/>
  </si>
  <si>
    <t>★記入の手順と注意事項</t>
    <rPh sb="1" eb="3">
      <t>キニュウ</t>
    </rPh>
    <rPh sb="4" eb="6">
      <t>テジュン</t>
    </rPh>
    <rPh sb="7" eb="9">
      <t>チュウイ</t>
    </rPh>
    <rPh sb="9" eb="11">
      <t>ジコウ</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</si>
  <si>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</si>
  <si>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</si>
  <si>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</si>
  <si>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</si>
  <si>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</si>
  <si>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</si>
  <si>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様式番号</t>
    <rPh sb="0" eb="2">
      <t>ヨウシキ</t>
    </rPh>
    <rPh sb="2" eb="4">
      <t>バンゴウ</t>
    </rPh>
    <phoneticPr fontId="3"/>
  </si>
  <si>
    <t>様式名</t>
    <rPh sb="0" eb="3">
      <t>ヨウシキメイ</t>
    </rPh>
    <phoneticPr fontId="3"/>
  </si>
  <si>
    <t>提出の必要性</t>
    <rPh sb="0" eb="2">
      <t>テイシュツ</t>
    </rPh>
    <rPh sb="3" eb="6">
      <t>ヒツヨウセイ</t>
    </rPh>
    <phoneticPr fontId="3"/>
  </si>
  <si>
    <t>シート名</t>
    <rPh sb="3" eb="4">
      <t>メイ</t>
    </rPh>
    <phoneticPr fontId="3"/>
  </si>
  <si>
    <t>参考様式第４号</t>
    <rPh sb="0" eb="4">
      <t>サンコウヨウシキ</t>
    </rPh>
    <rPh sb="4" eb="5">
      <t>ダイ</t>
    </rPh>
    <rPh sb="6" eb="7">
      <t>ゴウ</t>
    </rPh>
    <phoneticPr fontId="3"/>
  </si>
  <si>
    <r>
      <t xml:space="preserve">必須
</t>
    </r>
    <r>
      <rPr>
        <sz val="9"/>
        <rFont val="Meiryo UI"/>
        <family val="3"/>
        <charset val="128"/>
      </rPr>
      <t>（集落・個別協定）</t>
    </r>
    <rPh sb="0" eb="2">
      <t>ヒッス</t>
    </rPh>
    <rPh sb="4" eb="6">
      <t>シュウラク</t>
    </rPh>
    <rPh sb="7" eb="11">
      <t>コベツキョウテイ</t>
    </rPh>
    <phoneticPr fontId="3"/>
  </si>
  <si>
    <t>参４_申請</t>
    <phoneticPr fontId="3"/>
  </si>
  <si>
    <t>参４_申請_事業計画</t>
    <phoneticPr fontId="3"/>
  </si>
  <si>
    <r>
      <t xml:space="preserve">別紙様式１
</t>
    </r>
    <r>
      <rPr>
        <sz val="8"/>
        <rFont val="メイリオ"/>
        <family val="3"/>
        <charset val="128"/>
      </rPr>
      <t>（共通部分）</t>
    </r>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</si>
  <si>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</si>
  <si>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別紙１①</t>
    <phoneticPr fontId="3"/>
  </si>
  <si>
    <t>　　　別添１</t>
    <rPh sb="3" eb="5">
      <t>ベッテン</t>
    </rPh>
    <phoneticPr fontId="3"/>
  </si>
  <si>
    <t>実施区域位置図</t>
    <phoneticPr fontId="3"/>
  </si>
  <si>
    <t>別紙１②</t>
    <phoneticPr fontId="3"/>
  </si>
  <si>
    <t>　　　別添２</t>
    <rPh sb="3" eb="5">
      <t>ベッテン</t>
    </rPh>
    <phoneticPr fontId="3"/>
  </si>
  <si>
    <t>構成員一覧</t>
    <rPh sb="0" eb="5">
      <t>コウセイインイチラン</t>
    </rPh>
    <phoneticPr fontId="3"/>
  </si>
  <si>
    <t>別紙１③</t>
    <phoneticPr fontId="3"/>
  </si>
  <si>
    <t>２号事業様式（中山間地域等直接支払交付金）</t>
    <phoneticPr fontId="3"/>
  </si>
  <si>
    <t>必須
（集落協定）</t>
    <rPh sb="0" eb="2">
      <t>ヒッス</t>
    </rPh>
    <rPh sb="6" eb="8">
      <t>キョウテイ</t>
    </rPh>
    <phoneticPr fontId="3"/>
  </si>
  <si>
    <t>別紙１④</t>
    <phoneticPr fontId="3"/>
  </si>
  <si>
    <t>別紙様式２</t>
    <phoneticPr fontId="3"/>
  </si>
  <si>
    <t>農用地の内訳等及びネットワーク化活動計画</t>
    <phoneticPr fontId="3"/>
  </si>
  <si>
    <t>別紙２①</t>
    <phoneticPr fontId="3"/>
  </si>
  <si>
    <t>別紙様式３</t>
    <phoneticPr fontId="3"/>
  </si>
  <si>
    <t>協定対象施設の管理方法</t>
    <phoneticPr fontId="3"/>
  </si>
  <si>
    <t>別紙３</t>
    <phoneticPr fontId="3"/>
  </si>
  <si>
    <t>別紙様式４</t>
  </si>
  <si>
    <t>土地改良通年施行実施計画書</t>
    <phoneticPr fontId="3"/>
  </si>
  <si>
    <t>別紙４</t>
    <phoneticPr fontId="3"/>
  </si>
  <si>
    <t>別紙様式５</t>
  </si>
  <si>
    <t>農業所得の確認に関する承諾書</t>
    <phoneticPr fontId="3"/>
  </si>
  <si>
    <t>別紙５</t>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</si>
  <si>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</si>
  <si>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</si>
  <si>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</si>
  <si>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t>別紙６</t>
    <rPh sb="0" eb="2">
      <t>ベッシ</t>
    </rPh>
    <phoneticPr fontId="3"/>
  </si>
  <si>
    <t>別紙様式７</t>
    <rPh sb="0" eb="4">
      <t>ベッシヨウシキ</t>
    </rPh>
    <phoneticPr fontId="3"/>
  </si>
  <si>
    <t>協定農用地の概要</t>
    <phoneticPr fontId="3"/>
  </si>
  <si>
    <t>別紙７</t>
    <phoneticPr fontId="3"/>
  </si>
  <si>
    <t>　　　別添</t>
    <rPh sb="3" eb="5">
      <t>ベッテン</t>
    </rPh>
    <phoneticPr fontId="3"/>
  </si>
  <si>
    <t>農作業受委託契約書（様式例）</t>
    <rPh sb="10" eb="12">
      <t>ヨウシキ</t>
    </rPh>
    <rPh sb="12" eb="13">
      <t>レイ</t>
    </rPh>
    <phoneticPr fontId="3"/>
  </si>
  <si>
    <t>別紙７（別添）</t>
    <rPh sb="4" eb="6">
      <t>ベッテン</t>
    </rPh>
    <phoneticPr fontId="3"/>
  </si>
  <si>
    <t>別紙様式８</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</si>
  <si>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</si>
  <si>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別紙８</t>
    <phoneticPr fontId="3"/>
  </si>
  <si>
    <t>別紙様式９</t>
    <rPh sb="0" eb="4">
      <t>ベッシヨウシキ</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</si>
  <si>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</si>
  <si>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</si>
  <si>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２．ネットワーク化活動計画作成時に使用するもの</t>
    <rPh sb="8" eb="13">
      <t>カカツドウケイカク</t>
    </rPh>
    <rPh sb="13" eb="15">
      <t>サクセイ</t>
    </rPh>
    <rPh sb="15" eb="16">
      <t>ジ</t>
    </rPh>
    <rPh sb="17" eb="19">
      <t>シヨウ</t>
    </rPh>
    <phoneticPr fontId="3"/>
  </si>
  <si>
    <t>様式番号</t>
    <rPh sb="0" eb="4">
      <t>ヨウシキバンゴウ</t>
    </rPh>
    <phoneticPr fontId="3"/>
  </si>
  <si>
    <t>別紙様式２</t>
    <rPh sb="0" eb="2">
      <t>ベッシ</t>
    </rPh>
    <rPh sb="2" eb="4">
      <t>ヨウシキ</t>
    </rPh>
    <phoneticPr fontId="3"/>
  </si>
  <si>
    <t>農用地の内訳等及びネットワーク化活動計画
○農用地の内訳等</t>
    <rPh sb="22" eb="25">
      <t>ノウヨウチ</t>
    </rPh>
    <rPh sb="26" eb="28">
      <t>ウチワケ</t>
    </rPh>
    <rPh sb="28" eb="29">
      <t>トウ</t>
    </rPh>
    <phoneticPr fontId="3"/>
  </si>
  <si>
    <t>別紙２①　（再掲）</t>
    <rPh sb="0" eb="2">
      <t>ベッシ</t>
    </rPh>
    <rPh sb="6" eb="8">
      <t>サイケイ</t>
    </rPh>
    <phoneticPr fontId="3"/>
  </si>
  <si>
    <t>農用地の内訳等及びネットワーク化活動計画
○ネットワーク化活動計画</t>
    <phoneticPr fontId="3"/>
  </si>
  <si>
    <t>別紙２②（ネットワーク化活動計画）</t>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</si>
  <si>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</si>
  <si>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別紙２③（ネットワーク化）</t>
    <phoneticPr fontId="3"/>
  </si>
  <si>
    <t>別紙２④（統合）</t>
    <phoneticPr fontId="3"/>
  </si>
  <si>
    <t>別紙２⑤（多様な組織等の参画）</t>
    <phoneticPr fontId="3"/>
  </si>
  <si>
    <t>３．その他の様式</t>
    <rPh sb="4" eb="5">
      <t>タ</t>
    </rPh>
    <rPh sb="6" eb="8">
      <t>ヨウシキ</t>
    </rPh>
    <phoneticPr fontId="3"/>
  </si>
  <si>
    <t>参考様式第12号</t>
    <rPh sb="0" eb="4">
      <t>サンコウヨウシキ</t>
    </rPh>
    <rPh sb="4" eb="5">
      <t>ダイ</t>
    </rPh>
    <rPh sb="7" eb="8">
      <t>ゴウ</t>
    </rPh>
    <phoneticPr fontId="3"/>
  </si>
  <si>
    <t>共用資産管理台帳</t>
    <phoneticPr fontId="3"/>
  </si>
  <si>
    <t>必要に応じて
（集落協定）</t>
    <rPh sb="0" eb="2">
      <t>ヒツヨウ</t>
    </rPh>
    <rPh sb="3" eb="4">
      <t>オウ</t>
    </rPh>
    <rPh sb="8" eb="10">
      <t>シュウラク</t>
    </rPh>
    <rPh sb="10" eb="12">
      <t>キョウテイ</t>
    </rPh>
    <phoneticPr fontId="3"/>
  </si>
  <si>
    <t>参12</t>
    <phoneticPr fontId="3"/>
  </si>
  <si>
    <t>参考様式第13号</t>
    <rPh sb="0" eb="4">
      <t>サンコウヨウシキ</t>
    </rPh>
    <rPh sb="4" eb="5">
      <t>ダイ</t>
    </rPh>
    <rPh sb="7" eb="8">
      <t>ゴウ</t>
    </rPh>
    <phoneticPr fontId="3"/>
  </si>
  <si>
    <t>機械等利用管理規程</t>
    <phoneticPr fontId="3"/>
  </si>
  <si>
    <t>参13</t>
    <phoneticPr fontId="3"/>
  </si>
  <si>
    <t>参考様式第14号</t>
    <rPh sb="0" eb="4">
      <t>サンコウヨウシキ</t>
    </rPh>
    <rPh sb="4" eb="5">
      <t>ダイ</t>
    </rPh>
    <rPh sb="7" eb="8">
      <t>ゴウ</t>
    </rPh>
    <phoneticPr fontId="3"/>
  </si>
  <si>
    <t>機械等利用簿</t>
    <phoneticPr fontId="3"/>
  </si>
  <si>
    <t>参14</t>
    <phoneticPr fontId="3"/>
  </si>
  <si>
    <t>　別紙</t>
    <rPh sb="1" eb="3">
      <t>ベッシ</t>
    </rPh>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</si>
  <si>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</si>
  <si>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支出に係る届出</t>
    <rPh sb="0" eb="2">
      <t>シシュツ</t>
    </rPh>
    <rPh sb="3" eb="4">
      <t>カカ</t>
    </rPh>
    <rPh sb="5" eb="6">
      <t>トド</t>
    </rPh>
    <rPh sb="6" eb="7">
      <t>デ</t>
    </rPh>
    <phoneticPr fontId="3"/>
  </si>
  <si>
    <t>４．その他のシート（集落協定の方は入力不要です。（市町村用））</t>
    <rPh sb="4" eb="5">
      <t>タ</t>
    </rPh>
    <rPh sb="25" eb="28">
      <t>シチョウソン</t>
    </rPh>
    <rPh sb="28" eb="29">
      <t>ヨウ</t>
    </rPh>
    <phoneticPr fontId="3"/>
  </si>
  <si>
    <t>内容</t>
    <rPh sb="0" eb="2">
      <t>ナイヨウ</t>
    </rPh>
    <phoneticPr fontId="3"/>
  </si>
  <si>
    <t>市町村の実施状況調査の集計用シート</t>
    <rPh sb="0" eb="3">
      <t>シチョウソン</t>
    </rPh>
    <rPh sb="4" eb="10">
      <t>ジッシジョウキョウチョウサ</t>
    </rPh>
    <rPh sb="11" eb="14">
      <t>シュウケイヨウ</t>
    </rPh>
    <phoneticPr fontId="3"/>
  </si>
  <si>
    <t>実施状況報告（様式2）</t>
    <phoneticPr fontId="3"/>
  </si>
  <si>
    <t>（別紙様式２）</t>
    <rPh sb="1" eb="3">
      <t>ベッシ</t>
    </rPh>
    <rPh sb="3" eb="5">
      <t>ヨウシキ</t>
    </rPh>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</si>
  <si>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</si>
  <si>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</si>
  <si>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</si>
  <si>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棚田地域振興活動加算</t>
    <phoneticPr fontId="3"/>
  </si>
  <si>
    <t>ネットワーク化活動計画を
作成する</t>
    <rPh sb="6" eb="11">
      <t>カカツドウケイカク</t>
    </rPh>
    <rPh sb="13" eb="15">
      <t>サクセイ</t>
    </rPh>
    <phoneticPr fontId="3"/>
  </si>
  <si>
    <t>超急傾斜農地保全管理加算</t>
    <phoneticPr fontId="3"/>
  </si>
  <si>
    <t>ネットワーク化加算</t>
    <phoneticPr fontId="3"/>
  </si>
  <si>
    <t>ネットワーク化活動計画を
作成しない</t>
    <rPh sb="6" eb="11">
      <t>カカツドウケイカク</t>
    </rPh>
    <rPh sb="13" eb="15">
      <t>サクセイ</t>
    </rPh>
    <phoneticPr fontId="3"/>
  </si>
  <si>
    <t>スマート農業加算</t>
    <phoneticPr fontId="3"/>
  </si>
  <si>
    <t>集落機能強化加算の経過措置</t>
    <phoneticPr fontId="3"/>
  </si>
  <si>
    <t>○農用地の内訳等</t>
    <phoneticPr fontId="3"/>
  </si>
  <si>
    <t>こちらのセルには関数が入っているので変更しないでください。</t>
    <rPh sb="8" eb="10">
      <t>カンスウ</t>
    </rPh>
    <rPh sb="11" eb="12">
      <t>ハイ</t>
    </rPh>
    <rPh sb="18" eb="20">
      <t>ヘンコウ</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</si>
  <si>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</si>
  <si>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</si>
  <si>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</si>
  <si>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</si>
  <si>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</si>
  <si>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④加算の適用</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</si>
  <si>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</si>
  <si>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</si>
  <si>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</si>
  <si>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</si>
  <si>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</si>
  <si>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</si>
  <si>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</si>
  <si>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地目</t>
    <rPh sb="0" eb="2">
      <t>チモク</t>
    </rPh>
    <phoneticPr fontId="3"/>
  </si>
  <si>
    <t>面積(㎡)</t>
    <rPh sb="0" eb="2">
      <t>メンセキ</t>
    </rPh>
    <phoneticPr fontId="3"/>
  </si>
  <si>
    <t>交付基準(傾斜等)</t>
    <phoneticPr fontId="3"/>
  </si>
  <si>
    <t>超急傾斜農地
棚田地域振興農地のうち</t>
    <rPh sb="0" eb="1">
      <t>チョウ</t>
    </rPh>
    <rPh sb="1" eb="4">
      <t>キュウケイシャ</t>
    </rPh>
    <rPh sb="4" eb="6">
      <t>ノウチ</t>
    </rPh>
    <phoneticPr fontId="3"/>
  </si>
  <si>
    <t>10a当たりの単価(円)</t>
    <phoneticPr fontId="3"/>
  </si>
  <si>
    <t>交付額(円)</t>
    <phoneticPr fontId="3"/>
  </si>
  <si>
    <t>農用地の現況</t>
    <phoneticPr fontId="3"/>
  </si>
  <si>
    <t>具体的な活動内容</t>
    <rPh sb="0" eb="3">
      <t>グタイテキ</t>
    </rPh>
    <rPh sb="4" eb="6">
      <t>カツドウ</t>
    </rPh>
    <rPh sb="6" eb="8">
      <t>ナイヨウ</t>
    </rPh>
    <phoneticPr fontId="3"/>
  </si>
  <si>
    <t>ネットワーク化活動計画＋目＋傾斜</t>
    <rPh sb="6" eb="11">
      <t>カカツドウケイカク</t>
    </rPh>
    <rPh sb="12" eb="13">
      <t>メ</t>
    </rPh>
    <rPh sb="14" eb="16">
      <t>ケイシャ</t>
    </rPh>
    <phoneticPr fontId="3"/>
  </si>
  <si>
    <t>通常地域（8法内）</t>
  </si>
  <si>
    <t>○○地区</t>
    <rPh sb="2" eb="4">
      <t>チク</t>
    </rPh>
    <phoneticPr fontId="3"/>
  </si>
  <si>
    <t>A1団地</t>
    <rPh sb="2" eb="4">
      <t>ダンチ</t>
    </rPh>
    <phoneticPr fontId="3"/>
  </si>
  <si>
    <t>○○町○○番の１</t>
    <rPh sb="2" eb="3">
      <t>マチ</t>
    </rPh>
    <rPh sb="5" eb="6">
      <t>バン</t>
    </rPh>
    <phoneticPr fontId="3"/>
  </si>
  <si>
    <t>田</t>
    <rPh sb="0" eb="1">
      <t>デン</t>
    </rPh>
    <phoneticPr fontId="3"/>
  </si>
  <si>
    <t>急傾斜</t>
    <rPh sb="0" eb="3">
      <t>キュウケイシャ</t>
    </rPh>
    <phoneticPr fontId="3"/>
  </si>
  <si>
    <t>　</t>
  </si>
  <si>
    <t>耕作地</t>
    <rPh sb="0" eb="2">
      <t>コウサク</t>
    </rPh>
    <rPh sb="2" eb="3">
      <t>チ</t>
    </rPh>
    <phoneticPr fontId="3"/>
  </si>
  <si>
    <t>農林太郎</t>
    <rPh sb="0" eb="2">
      <t>ノウリン</t>
    </rPh>
    <rPh sb="2" eb="4">
      <t>タロウ</t>
    </rPh>
    <phoneticPr fontId="3"/>
  </si>
  <si>
    <t>○○町○○番の２</t>
    <rPh sb="2" eb="3">
      <t>マチ</t>
    </rPh>
    <rPh sb="5" eb="6">
      <t>バン</t>
    </rPh>
    <phoneticPr fontId="3"/>
  </si>
  <si>
    <t>○○町○○番の３</t>
    <rPh sb="2" eb="3">
      <t>マチ</t>
    </rPh>
    <rPh sb="5" eb="6">
      <t>バン</t>
    </rPh>
    <phoneticPr fontId="3"/>
  </si>
  <si>
    <t>〇</t>
  </si>
  <si>
    <t>　</t>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</si>
  <si>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</si>
  <si>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</si>
  <si>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</si>
  <si>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</si>
  <si>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</si>
  <si>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○○町○○番の９</t>
    <rPh sb="2" eb="3">
      <t>マチ</t>
    </rPh>
    <rPh sb="5" eb="6">
      <t>バン</t>
    </rPh>
    <phoneticPr fontId="3"/>
  </si>
  <si>
    <t>○○町○○番の１０</t>
    <rPh sb="2" eb="3">
      <t>マチ</t>
    </rPh>
    <rPh sb="5" eb="6">
      <t>バン</t>
    </rPh>
    <phoneticPr fontId="3"/>
  </si>
  <si>
    <t>B2団地</t>
    <rPh sb="2" eb="4">
      <t>ダンチ</t>
    </rPh>
    <phoneticPr fontId="3"/>
  </si>
  <si>
    <t>小区画・不整形</t>
  </si>
  <si>
    <t>高齢化・耕作放棄率</t>
    <rPh sb="0" eb="3">
      <t>コウレイカ</t>
    </rPh>
    <rPh sb="4" eb="6">
      <t>コウサク</t>
    </rPh>
    <rPh sb="6" eb="8">
      <t>ホウキ</t>
    </rPh>
    <rPh sb="8" eb="9">
      <t>リツ</t>
    </rPh>
    <phoneticPr fontId="3"/>
  </si>
  <si>
    <t>特認基準</t>
    <rPh sb="0" eb="2">
      <t>トクニン</t>
    </rPh>
    <rPh sb="2" eb="4">
      <t>キジュン</t>
    </rPh>
    <phoneticPr fontId="3"/>
  </si>
  <si>
    <t>交付対象外</t>
    <rPh sb="0" eb="2">
      <t>コウフ</t>
    </rPh>
    <rPh sb="2" eb="4">
      <t>タイショウ</t>
    </rPh>
    <rPh sb="4" eb="5">
      <t>ガイ</t>
    </rPh>
    <phoneticPr fontId="3"/>
  </si>
  <si>
    <t>畑</t>
    <rPh sb="0" eb="1">
      <t>ハタ</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</si>
  <si>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</si>
  <si>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交付対象外（田畑混在地）</t>
    <rPh sb="0" eb="2">
      <t>コウフ</t>
    </rPh>
    <rPh sb="2" eb="4">
      <t>タイショウ</t>
    </rPh>
    <rPh sb="4" eb="5">
      <t>ガイ</t>
    </rPh>
    <rPh sb="6" eb="7">
      <t>デン</t>
    </rPh>
    <rPh sb="7" eb="8">
      <t>ハタ</t>
    </rPh>
    <rPh sb="8" eb="10">
      <t>コンザイ</t>
    </rPh>
    <rPh sb="10" eb="11">
      <t>チ</t>
    </rPh>
    <phoneticPr fontId="3"/>
  </si>
  <si>
    <t>緩傾斜</t>
    <rPh sb="0" eb="3">
      <t>カンケイシャ</t>
    </rPh>
    <phoneticPr fontId="3"/>
  </si>
  <si>
    <t>草地</t>
    <rPh sb="0" eb="2">
      <t>ソウチ</t>
    </rPh>
    <phoneticPr fontId="3"/>
  </si>
  <si>
    <t>C1団地</t>
    <rPh sb="2" eb="4">
      <t>ダンチ</t>
    </rPh>
    <phoneticPr fontId="3"/>
  </si>
  <si>
    <t>小区画・不整形</t>
    <phoneticPr fontId="3"/>
  </si>
  <si>
    <t>草地比率の高い草地</t>
    <rPh sb="0" eb="2">
      <t>ソウチ</t>
    </rPh>
    <rPh sb="2" eb="4">
      <t>ヒリツ</t>
    </rPh>
    <rPh sb="5" eb="6">
      <t>タカ</t>
    </rPh>
    <rPh sb="7" eb="9">
      <t>ソウチ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</si>
  <si>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</si>
  <si>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</si>
  <si>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採草放牧地</t>
    <rPh sb="0" eb="2">
      <t>サイソウ</t>
    </rPh>
    <rPh sb="2" eb="4">
      <t>ホウボク</t>
    </rPh>
    <rPh sb="4" eb="5">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</si>
  <si>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</si>
  <si>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</si>
  <si>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行を追加する場合はこれより上の行をコピーして「コピーしたセルの挿入」をしてください。</t>
  </si>
  <si>
    <t>〇</t>
    <phoneticPr fontId="3"/>
  </si>
  <si>
    <t>上記表は以下の表に従って記載するものとする</t>
    <phoneticPr fontId="3"/>
  </si>
  <si>
    <t>地目、傾斜</t>
    <rPh sb="0" eb="2">
      <t>チモク</t>
    </rPh>
    <rPh sb="3" eb="5">
      <t>ケイシャ</t>
    </rPh>
    <phoneticPr fontId="3"/>
  </si>
  <si>
    <t>協定に含めない管理すべき農用地</t>
    <rPh sb="0" eb="2">
      <t>キョウテイ</t>
    </rPh>
    <rPh sb="3" eb="4">
      <t>フク</t>
    </rPh>
    <rPh sb="7" eb="9">
      <t>カンリ</t>
    </rPh>
    <rPh sb="12" eb="15">
      <t>ノウヨウチ</t>
    </rPh>
    <phoneticPr fontId="3"/>
  </si>
  <si>
    <t>単価一覧</t>
    <rPh sb="0" eb="2">
      <t>タンカ</t>
    </rPh>
    <rPh sb="2" eb="4">
      <t>イチラン</t>
    </rPh>
    <phoneticPr fontId="3"/>
  </si>
  <si>
    <t>ネットワーク化活動計画</t>
    <rPh sb="6" eb="11">
      <t>カカツドウケイカク</t>
    </rPh>
    <phoneticPr fontId="3"/>
  </si>
  <si>
    <t>傾斜</t>
    <rPh sb="0" eb="2">
      <t>ケイシャ</t>
    </rPh>
    <phoneticPr fontId="3"/>
  </si>
  <si>
    <t>ネットワーク化活動計画＋地目＋傾斜</t>
    <rPh sb="6" eb="7">
      <t>カ</t>
    </rPh>
    <rPh sb="7" eb="11">
      <t>カツドウケイカク</t>
    </rPh>
    <rPh sb="12" eb="14">
      <t>チモク</t>
    </rPh>
    <rPh sb="15" eb="17">
      <t>ケイシャ</t>
    </rPh>
    <phoneticPr fontId="3"/>
  </si>
  <si>
    <t>交付単価</t>
    <rPh sb="0" eb="2">
      <t>コウフ</t>
    </rPh>
    <rPh sb="2" eb="4">
      <t>タンカ</t>
    </rPh>
    <phoneticPr fontId="3"/>
  </si>
  <si>
    <t>農用地の現況及び活動内容</t>
    <phoneticPr fontId="3"/>
  </si>
  <si>
    <t>維持管理農用地</t>
    <rPh sb="4" eb="7">
      <t>ノウヨウチ</t>
    </rPh>
    <phoneticPr fontId="3"/>
  </si>
  <si>
    <t>荒廃農地</t>
    <phoneticPr fontId="3"/>
  </si>
  <si>
    <t>被災地</t>
    <phoneticPr fontId="3"/>
  </si>
  <si>
    <t>土地改良通年施行</t>
    <phoneticPr fontId="3"/>
  </si>
  <si>
    <t>その他（具体的活動内容欄に記入）</t>
    <rPh sb="4" eb="7">
      <t>グタイテキ</t>
    </rPh>
    <rPh sb="7" eb="9">
      <t>カツドウ</t>
    </rPh>
    <rPh sb="9" eb="11">
      <t>ナイヨウ</t>
    </rPh>
    <rPh sb="11" eb="12">
      <t>ラン</t>
    </rPh>
    <phoneticPr fontId="3"/>
  </si>
  <si>
    <t>（参考様式第４号）</t>
    <rPh sb="1" eb="3">
      <t>サンコウ</t>
    </rPh>
    <rPh sb="3" eb="5">
      <t>ヨウシキ</t>
    </rPh>
    <phoneticPr fontId="3"/>
  </si>
  <si>
    <t>市町村長　</t>
    <rPh sb="0" eb="4">
      <t>シチョウソンチョウ</t>
    </rPh>
    <phoneticPr fontId="3"/>
  </si>
  <si>
    <t>殿</t>
    <rPh sb="0" eb="1">
      <t>ドノ</t>
    </rPh>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</si>
  <si>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</si>
  <si>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</si>
  <si>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</si>
  <si>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</si>
  <si>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</si>
  <si>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</si>
  <si>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</si>
  <si>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</si>
  <si>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</si>
  <si>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</si>
  <si>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</si>
  <si>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多面的機能発揮促進事業に関する計画</t>
    <rPh sb="9" eb="11">
      <t>ジギョウ</t>
    </rPh>
    <phoneticPr fontId="109"/>
  </si>
  <si>
    <t>１ 多面的機能発揮促進事業の目標</t>
    <phoneticPr fontId="109"/>
  </si>
  <si>
    <t>１．現況</t>
    <rPh sb="2" eb="4">
      <t>ゲンキョウ</t>
    </rPh>
    <phoneticPr fontId="109"/>
  </si>
  <si>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</si>
  <si>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09"/>
  </si>
  <si>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</si>
  <si>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09"/>
  </si>
  <si>
    <t>　（１）多面的機能発揮促進事業の種類及び実施区域</t>
    <phoneticPr fontId="109"/>
  </si>
  <si>
    <t>　　① 種類（実施するものに○を付すこと。）</t>
    <phoneticPr fontId="109"/>
  </si>
  <si>
    <r>
      <t>１号事業</t>
    </r>
    <r>
      <rPr>
        <sz val="12"/>
        <color indexed="8"/>
        <rFont val="ＭＳ 明朝"/>
        <family val="1"/>
        <charset val="128"/>
      </rPr>
      <t>（多面的機能支払交付金）</t>
    </r>
    <phoneticPr fontId="10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</si>
  <si>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</si>
  <si>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9"/>
  </si>
  <si>
    <r>
      <t>２号事業</t>
    </r>
    <r>
      <rPr>
        <sz val="12"/>
        <color indexed="8"/>
        <rFont val="ＭＳ 明朝"/>
        <family val="1"/>
        <charset val="128"/>
      </rPr>
      <t>（中山間地域等直接支払交付金）</t>
    </r>
    <phoneticPr fontId="109"/>
  </si>
  <si>
    <r>
      <t>３号事業</t>
    </r>
    <r>
      <rPr>
        <sz val="12"/>
        <color indexed="8"/>
        <rFont val="ＭＳ 明朝"/>
        <family val="1"/>
        <charset val="128"/>
      </rPr>
      <t>（環境保全型農業直接支払交付金）</t>
    </r>
    <phoneticPr fontId="109"/>
  </si>
  <si>
    <r>
      <t>４号事業</t>
    </r>
    <r>
      <rPr>
        <sz val="12"/>
        <color indexed="8"/>
        <rFont val="ＭＳ 明朝"/>
        <family val="1"/>
        <charset val="128"/>
      </rPr>
      <t>（その他農業の有する多面的機能の発揮の促進に資する事業）</t>
    </r>
    <phoneticPr fontId="109"/>
  </si>
  <si>
    <t>　　② 実施区域</t>
    <phoneticPr fontId="109"/>
  </si>
  <si>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</si>
  <si>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09"/>
  </si>
  <si>
    <t>　　②２号事業</t>
    <rPh sb="4" eb="5">
      <t>ゴウ</t>
    </rPh>
    <rPh sb="5" eb="7">
      <t>ジギョウ</t>
    </rPh>
    <phoneticPr fontId="109"/>
  </si>
  <si>
    <t xml:space="preserve">  　 １）農業生産活動の内容</t>
    <rPh sb="6" eb="8">
      <t>ノウギョウ</t>
    </rPh>
    <rPh sb="8" eb="10">
      <t>セイサン</t>
    </rPh>
    <rPh sb="10" eb="12">
      <t>カツドウ</t>
    </rPh>
    <rPh sb="13" eb="15">
      <t>ナイヨウ</t>
    </rPh>
    <phoneticPr fontId="109"/>
  </si>
  <si>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0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</si>
  <si>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9"/>
  </si>
  <si>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</si>
  <si>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</si>
  <si>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09"/>
  </si>
  <si>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</si>
  <si>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09"/>
  </si>
  <si>
    <t>＜施行注意＞</t>
    <rPh sb="1" eb="3">
      <t>セコウ</t>
    </rPh>
    <rPh sb="3" eb="5">
      <t>チュウイ</t>
    </rPh>
    <phoneticPr fontId="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</si>
  <si>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</si>
  <si>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（別紙様式１）</t>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</si>
  <si>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</si>
  <si>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</si>
  <si>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</si>
  <si>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</si>
  <si>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</si>
  <si>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</si>
  <si>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</si>
  <si>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Ⅱ． １号事業（多面的機能支払）</t>
    <phoneticPr fontId="3"/>
  </si>
  <si>
    <t>別紙</t>
    <rPh sb="0" eb="2">
      <t>ベッシ</t>
    </rPh>
    <phoneticPr fontId="3"/>
  </si>
  <si>
    <t>Ⅲ． ２号事業（中山間地域等直接支払）</t>
    <phoneticPr fontId="3"/>
  </si>
  <si>
    <t>別紙1</t>
  </si>
  <si>
    <t>Ⅳ． ３号事業（環境保全型農業直接支払）</t>
    <phoneticPr fontId="3"/>
  </si>
  <si>
    <t>別紙　</t>
    <rPh sb="0" eb="2">
      <t>ベッシ</t>
    </rPh>
    <phoneticPr fontId="3"/>
  </si>
  <si>
    <t>Ⅴ． 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</si>
  <si>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</si>
  <si>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</si>
  <si>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</si>
  <si>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</si>
  <si>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</si>
  <si>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</si>
  <si>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</si>
  <si>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</si>
  <si>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</si>
  <si>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農地維持支払</t>
  </si>
  <si>
    <t>令和</t>
    <rPh sb="0" eb="2">
      <t>レイワ</t>
    </rPh>
    <phoneticPr fontId="3"/>
  </si>
  <si>
    <t>年度</t>
    <rPh sb="0" eb="2">
      <t>ネンド</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</si>
  <si>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</si>
  <si>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</si>
  <si>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中山間地域等
直接支払</t>
    <phoneticPr fontId="3"/>
  </si>
  <si>
    <t>環境保全型農業直接支払</t>
    <phoneticPr fontId="3"/>
  </si>
  <si>
    <t xml:space="preserve"> ２．実施区域内の農用地、施設</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</si>
  <si>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</si>
  <si>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計</t>
    <rPh sb="0" eb="1">
      <t>ケイ</t>
    </rPh>
    <phoneticPr fontId="3"/>
  </si>
  <si>
    <t>解消する遊休農地面積</t>
    <rPh sb="0" eb="2">
      <t>カイショウ</t>
    </rPh>
    <rPh sb="4" eb="5">
      <t>アソ</t>
    </rPh>
    <rPh sb="5" eb="6">
      <t>ヤス</t>
    </rPh>
    <rPh sb="6" eb="8">
      <t>ノウチ</t>
    </rPh>
    <rPh sb="8" eb="10">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</si>
  <si>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</si>
  <si>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</si>
  <si>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</si>
  <si>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</si>
  <si>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</si>
  <si>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多面支払</t>
    <rPh sb="0" eb="2">
      <t>タメン</t>
    </rPh>
    <rPh sb="2" eb="4">
      <t>シハライ</t>
    </rPh>
    <rPh sb="3" eb="4">
      <t>バライ</t>
    </rPh>
    <phoneticPr fontId="3"/>
  </si>
  <si>
    <t>中山間
直払</t>
    <rPh sb="0" eb="3">
      <t>チュウサンカン</t>
    </rPh>
    <rPh sb="4" eb="6">
      <t>チョクバライ</t>
    </rPh>
    <phoneticPr fontId="3"/>
  </si>
  <si>
    <t>農地面積</t>
    <rPh sb="2" eb="4">
      <t>メンセキ</t>
    </rPh>
    <phoneticPr fontId="3"/>
  </si>
  <si>
    <t>環境
直払※２</t>
    <rPh sb="0" eb="2">
      <t>カンキョウ</t>
    </rPh>
    <rPh sb="3" eb="5">
      <t>チョクバライ</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</si>
  <si>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</si>
  <si>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農業用施設
（多面支払）</t>
    <rPh sb="0" eb="3">
      <t>ノウギョウヨウ</t>
    </rPh>
    <rPh sb="3" eb="5">
      <t>シセツ</t>
    </rPh>
    <rPh sb="7" eb="9">
      <t>タメン</t>
    </rPh>
    <rPh sb="9" eb="11">
      <t>シハラ</t>
    </rPh>
    <phoneticPr fontId="3"/>
  </si>
  <si>
    <t>水路</t>
    <rPh sb="0" eb="2">
      <t>スイロ</t>
    </rPh>
    <phoneticPr fontId="3"/>
  </si>
  <si>
    <t>農道</t>
    <rPh sb="0" eb="2">
      <t>ノウドウ</t>
    </rPh>
    <phoneticPr fontId="3"/>
  </si>
  <si>
    <t>ため池</t>
    <rPh sb="2" eb="3">
      <t>イケ</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</si>
  <si>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</si>
  <si>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</si>
  <si>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xml:space="preserve"> ３．実施区域位置図</t>
    <rPh sb="3" eb="5">
      <t>ジッシ</t>
    </rPh>
    <rPh sb="5" eb="7">
      <t>クイキ</t>
    </rPh>
    <rPh sb="7" eb="9">
      <t>イチ</t>
    </rPh>
    <rPh sb="9" eb="10">
      <t>ズ</t>
    </rPh>
    <phoneticPr fontId="3"/>
  </si>
  <si>
    <t>　別添１「実施区域位置図」のとおり　</t>
    <rPh sb="1" eb="3">
      <t>ベッテン</t>
    </rPh>
    <rPh sb="5" eb="7">
      <t>ジッシ</t>
    </rPh>
    <rPh sb="7" eb="9">
      <t>クイキ</t>
    </rPh>
    <rPh sb="9" eb="11">
      <t>イチ</t>
    </rPh>
    <rPh sb="11" eb="12">
      <t>ズ</t>
    </rPh>
    <phoneticPr fontId="3"/>
  </si>
  <si>
    <t xml:space="preserve"> ４．組織構成員一覧</t>
    <rPh sb="3" eb="5">
      <t>ソシキ</t>
    </rPh>
    <rPh sb="5" eb="8">
      <t>コウセイイン</t>
    </rPh>
    <rPh sb="8" eb="10">
      <t>イチラン</t>
    </rPh>
    <phoneticPr fontId="3"/>
  </si>
  <si>
    <t>別添２「構成員一覧」のとおり
　※ 多面支払のみに取り組む場合は、活動組織規約の別紙「構成員一覧」に代えることができる。</t>
    <rPh sb="0" eb="2">
      <t>ベッテン</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</si>
  <si>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</si>
  <si>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重複面積
（多面支払・中山間直払）</t>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</si>
  <si>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</si>
  <si>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（別添１）</t>
    <rPh sb="1" eb="3">
      <t>ベッテン</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</si>
  <si>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</si>
  <si>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</si>
  <si>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</si>
  <si>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</si>
  <si>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</si>
  <si>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（別添２）</t>
  </si>
  <si>
    <t>構成員一覧</t>
    <rPh sb="0" eb="3">
      <t>コウセイイン</t>
    </rPh>
    <rPh sb="3" eb="5">
      <t>イチラン</t>
    </rPh>
    <phoneticPr fontId="3"/>
  </si>
  <si>
    <t>役職名</t>
    <rPh sb="0" eb="3">
      <t>ヤクショクメイ</t>
    </rPh>
    <phoneticPr fontId="3"/>
  </si>
  <si>
    <t>氏名
（代表者名、
団体名）</t>
    <rPh sb="0" eb="2">
      <t>シメイ</t>
    </rPh>
    <phoneticPr fontId="3"/>
  </si>
  <si>
    <t>住所</t>
    <phoneticPr fontId="3"/>
  </si>
  <si>
    <t>多面的機能支払</t>
    <rPh sb="0" eb="7">
      <t>タメンテキキノウシハライ</t>
    </rPh>
    <phoneticPr fontId="3"/>
  </si>
  <si>
    <t>中山間地域等直接支払</t>
    <phoneticPr fontId="3"/>
  </si>
  <si>
    <t>分類
記号</t>
    <rPh sb="0" eb="2">
      <t>ブンルイ</t>
    </rPh>
    <rPh sb="3" eb="5">
      <t>キゴウ</t>
    </rPh>
    <phoneticPr fontId="3"/>
  </si>
  <si>
    <t>備考
活動支援班員</t>
    <rPh sb="0" eb="2">
      <t>ビコウ</t>
    </rPh>
    <rPh sb="4" eb="6">
      <t>カツドウ</t>
    </rPh>
    <rPh sb="6" eb="8">
      <t>シエン</t>
    </rPh>
    <rPh sb="8" eb="10">
      <t>ハンイン</t>
    </rPh>
    <phoneticPr fontId="3"/>
  </si>
  <si>
    <t>年齢
分類
記号</t>
    <rPh sb="0" eb="2">
      <t>ネンレイ</t>
    </rPh>
    <rPh sb="3" eb="5">
      <t>ブンルイ</t>
    </rPh>
    <rPh sb="6" eb="7">
      <t>キ</t>
    </rPh>
    <phoneticPr fontId="3"/>
  </si>
  <si>
    <t>他の市町村で環境保全型農業直接支払を実施している場合は、その市町村名を全て記載</t>
    <phoneticPr fontId="3"/>
  </si>
  <si>
    <t>みどり認定</t>
    <rPh sb="3" eb="5">
      <t>ニンテイ</t>
    </rPh>
    <phoneticPr fontId="3"/>
  </si>
  <si>
    <t>認定済</t>
    <phoneticPr fontId="3"/>
  </si>
  <si>
    <t>申請中又は申請予定</t>
    <phoneticPr fontId="3"/>
  </si>
  <si>
    <t>申請予定無し</t>
    <phoneticPr fontId="3"/>
  </si>
  <si>
    <t>代表者</t>
    <rPh sb="0" eb="2">
      <t>ダイヒョウ</t>
    </rPh>
    <rPh sb="2" eb="3">
      <t>シャ</t>
    </rPh>
    <phoneticPr fontId="3"/>
  </si>
  <si>
    <t>○○ ○○</t>
    <phoneticPr fontId="3"/>
  </si>
  <si>
    <t>○</t>
    <phoneticPr fontId="3"/>
  </si>
  <si>
    <t>A</t>
  </si>
  <si>
    <t>ア</t>
  </si>
  <si>
    <t>書記担当</t>
    <rPh sb="0" eb="2">
      <t>ショキ</t>
    </rPh>
    <rPh sb="2" eb="4">
      <t>タントウ</t>
    </rPh>
    <phoneticPr fontId="3"/>
  </si>
  <si>
    <t>B</t>
  </si>
  <si>
    <t>イ</t>
  </si>
  <si>
    <t>会計担当</t>
    <rPh sb="0" eb="2">
      <t>カイケイ</t>
    </rPh>
    <rPh sb="2" eb="4">
      <t>タントウ</t>
    </rPh>
    <phoneticPr fontId="3"/>
  </si>
  <si>
    <t>ウ</t>
  </si>
  <si>
    <t>C</t>
  </si>
  <si>
    <t>−</t>
  </si>
  <si>
    <t>E</t>
  </si>
  <si>
    <t>F</t>
  </si>
  <si>
    <t>G</t>
  </si>
  <si>
    <t>J</t>
  </si>
  <si>
    <t>L</t>
  </si>
  <si>
    <t>エ</t>
  </si>
  <si>
    <t>カ</t>
  </si>
  <si>
    <t>キ</t>
  </si>
  <si>
    <t>ケ</t>
  </si>
  <si>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</si>
  <si>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多面的機能支払分類番号リスト</t>
    <phoneticPr fontId="3"/>
  </si>
  <si>
    <t>中山間地域等直接支払分類記号リスト</t>
    <phoneticPr fontId="3"/>
  </si>
  <si>
    <t>年齢分類記号リスト</t>
    <rPh sb="0" eb="2">
      <t>ネンレイ</t>
    </rPh>
    <rPh sb="2" eb="4">
      <t>ブンルイ</t>
    </rPh>
    <rPh sb="4" eb="6">
      <t>キゴウ</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</si>
  <si>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</si>
  <si>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</si>
  <si>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</si>
  <si>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</si>
  <si>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</si>
  <si>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</si>
  <si>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</si>
  <si>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２号事業様式</t>
    <phoneticPr fontId="3"/>
  </si>
  <si>
    <t>（中山間地域等直接支払交付金）</t>
    <phoneticPr fontId="3"/>
  </si>
  <si>
    <t>第１  集落協定の実施体制</t>
    <phoneticPr fontId="3"/>
  </si>
  <si>
    <t>１　集落協定の管理体制（構成員の役割分担）</t>
    <phoneticPr fontId="3"/>
  </si>
  <si>
    <t>役職名等</t>
  </si>
  <si>
    <t>氏名</t>
    <rPh sb="0" eb="2">
      <t>シメイ</t>
    </rPh>
    <phoneticPr fontId="3"/>
  </si>
  <si>
    <t>代表者</t>
    <rPh sb="0" eb="3">
      <t>ダイヒョウシャ</t>
    </rPh>
    <phoneticPr fontId="3"/>
  </si>
  <si>
    <t>丙川　三郎</t>
    <phoneticPr fontId="3"/>
  </si>
  <si>
    <t>書記担当</t>
    <phoneticPr fontId="3"/>
  </si>
  <si>
    <t>会計担当</t>
    <phoneticPr fontId="3"/>
  </si>
  <si>
    <t>乙山　次郎</t>
    <phoneticPr fontId="3"/>
  </si>
  <si>
    <t>共同機械担当</t>
    <phoneticPr fontId="3"/>
  </si>
  <si>
    <t>土地改良施設担当</t>
    <phoneticPr fontId="3"/>
  </si>
  <si>
    <t>甲田　太郎</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</si>
  <si>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</si>
  <si>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</si>
  <si>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</si>
  <si>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</si>
  <si>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</si>
  <si>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</si>
  <si>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</si>
  <si>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t>
    <phoneticPr fontId="3"/>
  </si>
  <si>
    <t>ア</t>
    <phoneticPr fontId="3"/>
  </si>
  <si>
    <t>集落全体</t>
    <rPh sb="0" eb="2">
      <t>シュウラク</t>
    </rPh>
    <rPh sb="2" eb="4">
      <t>ゼンタイ</t>
    </rPh>
    <phoneticPr fontId="3"/>
  </si>
  <si>
    <t>○○の実施に当たって集落全体の企画・立案・取りまとめを行う</t>
    <phoneticPr fontId="3"/>
  </si>
  <si>
    <t>○○の実施に当たって○○地区の企画・立案・取りまとめを行う</t>
    <rPh sb="12" eb="14">
      <t>チク</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</si>
  <si>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</si>
  <si>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中核的リーダーの人数（人）</t>
    <rPh sb="0" eb="3">
      <t>チュウカクテキ</t>
    </rPh>
    <rPh sb="8" eb="10">
      <t>ニンズウ</t>
    </rPh>
    <rPh sb="11" eb="12">
      <t>ニン</t>
    </rPh>
    <phoneticPr fontId="3"/>
  </si>
  <si>
    <t>協定参加者数（人）</t>
    <rPh sb="0" eb="2">
      <t>キョウテイ</t>
    </rPh>
    <rPh sb="2" eb="5">
      <t>サンカシャ</t>
    </rPh>
    <rPh sb="5" eb="6">
      <t>スウ</t>
    </rPh>
    <rPh sb="7" eb="8">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</si>
  <si>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</si>
  <si>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</si>
  <si>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第２  農用地の管理方法</t>
    <phoneticPr fontId="3"/>
  </si>
  <si>
    <t>　以下の項目のうち該当項目に○印を記入</t>
    <phoneticPr fontId="3"/>
  </si>
  <si>
    <t>該 当</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</si>
  <si>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</si>
  <si>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</si>
  <si>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</si>
  <si>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</si>
  <si>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</si>
  <si>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</si>
  <si>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</si>
  <si>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</si>
  <si>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</si>
  <si>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</si>
  <si>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第３　協定対象となる農用地</t>
    <phoneticPr fontId="3"/>
  </si>
  <si>
    <t>　（基本分）</t>
    <phoneticPr fontId="3"/>
  </si>
  <si>
    <t>（単位：㎡）</t>
  </si>
  <si>
    <t>項目</t>
    <rPh sb="0" eb="2">
      <t>コウモク</t>
    </rPh>
    <phoneticPr fontId="3"/>
  </si>
  <si>
    <t>協定農用地
面積</t>
    <phoneticPr fontId="3"/>
  </si>
  <si>
    <t>田</t>
    <phoneticPr fontId="3"/>
  </si>
  <si>
    <t>草地</t>
    <phoneticPr fontId="3"/>
  </si>
  <si>
    <t>採草放牧地</t>
    <phoneticPr fontId="3"/>
  </si>
  <si>
    <t>面積</t>
    <phoneticPr fontId="3"/>
  </si>
  <si>
    <t>交付基準（傾斜等）</t>
    <phoneticPr fontId="3"/>
  </si>
  <si>
    <t>単価区分</t>
    <rPh sb="0" eb="2">
      <t>タンカ</t>
    </rPh>
    <rPh sb="2" eb="4">
      <t>クブン</t>
    </rPh>
    <phoneticPr fontId="3"/>
  </si>
  <si>
    <t>上限
単価</t>
    <rPh sb="0" eb="2">
      <t>ジョウゲン</t>
    </rPh>
    <phoneticPr fontId="3"/>
  </si>
  <si>
    <t>交付
上限額</t>
    <rPh sb="3" eb="5">
      <t>ジョウゲン</t>
    </rPh>
    <phoneticPr fontId="3"/>
  </si>
  <si>
    <t>面積</t>
  </si>
  <si>
    <t>協定全体</t>
    <phoneticPr fontId="3"/>
  </si>
  <si>
    <t>計</t>
    <phoneticPr fontId="3"/>
  </si>
  <si>
    <t>　（加算措置に取り組む場合）</t>
    <phoneticPr fontId="3"/>
  </si>
  <si>
    <t>　１　棚田地域振興活動加算</t>
    <phoneticPr fontId="3"/>
  </si>
  <si>
    <t>面積（㎡）</t>
    <phoneticPr fontId="3"/>
  </si>
  <si>
    <t>上限単価
（円/10a）</t>
    <rPh sb="0" eb="2">
      <t>ジョウゲン</t>
    </rPh>
    <phoneticPr fontId="3"/>
  </si>
  <si>
    <t>面積×上限単価
（円）</t>
    <rPh sb="3" eb="5">
      <t>ジョウゲン</t>
    </rPh>
    <phoneticPr fontId="3"/>
  </si>
  <si>
    <t>加算上限額
（円）</t>
    <rPh sb="2" eb="4">
      <t>ジョウゲン</t>
    </rPh>
    <phoneticPr fontId="3"/>
  </si>
  <si>
    <t>田
1/20以上</t>
    <phoneticPr fontId="3"/>
  </si>
  <si>
    <t>畑
15度以上</t>
    <phoneticPr fontId="3"/>
  </si>
  <si>
    <t>田
1/10以上</t>
    <phoneticPr fontId="3"/>
  </si>
  <si>
    <t>畑
20度以上</t>
    <phoneticPr fontId="3"/>
  </si>
  <si>
    <t>注１）面積×上限単価（円）は、面積（㎡）の千分の一の値に上限単価（円/10a）を乗じた額とする。</t>
    <phoneticPr fontId="3"/>
  </si>
  <si>
    <t>注２）加算上限額（円）は、面積×上限単価（円）の合計額とする。</t>
    <phoneticPr fontId="3"/>
  </si>
  <si>
    <t>　２　超急傾斜農地保全管理加算</t>
    <phoneticPr fontId="3"/>
  </si>
  <si>
    <t>　３　ネットワーク化加算</t>
    <phoneticPr fontId="3"/>
  </si>
  <si>
    <t>上限単価
(円/10a)</t>
    <rPh sb="0" eb="2">
      <t>ジョウゲン</t>
    </rPh>
    <phoneticPr fontId="3"/>
  </si>
  <si>
    <t>面積×上限単価の計
（円）</t>
    <rPh sb="3" eb="5">
      <t>ジョウゲン</t>
    </rPh>
    <phoneticPr fontId="3"/>
  </si>
  <si>
    <t>加算上限額
（円）</t>
    <rPh sb="0" eb="2">
      <t>カサン</t>
    </rPh>
    <phoneticPr fontId="3"/>
  </si>
  <si>
    <t>畑</t>
    <phoneticPr fontId="3"/>
  </si>
  <si>
    <t>注２）加算上限額（円）は、面積×上限単価の計（円）及び100万円のうち、いずれか低い額とする。ただし、統合については、統合前の協定単位で上限を設定する。</t>
    <phoneticPr fontId="3"/>
  </si>
  <si>
    <t>　　ネットワーク化又は統合状況</t>
    <rPh sb="8" eb="9">
      <t>カ</t>
    </rPh>
    <rPh sb="9" eb="10">
      <t>マタ</t>
    </rPh>
    <phoneticPr fontId="3"/>
  </si>
  <si>
    <t>ネットワーク化する集落協定名</t>
    <rPh sb="6" eb="7">
      <t>カ</t>
    </rPh>
    <rPh sb="9" eb="11">
      <t>シュウラク</t>
    </rPh>
    <rPh sb="11" eb="13">
      <t>キョウテイ</t>
    </rPh>
    <phoneticPr fontId="3"/>
  </si>
  <si>
    <t>統合する集落協定名</t>
    <rPh sb="0" eb="2">
      <t>トウゴウ</t>
    </rPh>
    <rPh sb="4" eb="6">
      <t>シュウラク</t>
    </rPh>
    <rPh sb="8" eb="9">
      <t>メイ</t>
    </rPh>
    <phoneticPr fontId="3"/>
  </si>
  <si>
    <t>対象農用地面積（㎡）</t>
    <phoneticPr fontId="3"/>
  </si>
  <si>
    <t>○○集落</t>
    <rPh sb="2" eb="4">
      <t>シュウラク</t>
    </rPh>
    <phoneticPr fontId="3"/>
  </si>
  <si>
    <t>行を追加する場合はこれより上の行を「コピーして追加」してください。</t>
    <phoneticPr fontId="3"/>
  </si>
  <si>
    <t>　　４　スマート農業加算</t>
    <rPh sb="8" eb="10">
      <t>ノウギョウ</t>
    </rPh>
    <phoneticPr fontId="3"/>
  </si>
  <si>
    <t>スマート農業加算</t>
    <rPh sb="4" eb="6">
      <t>ノウギョウ</t>
    </rPh>
    <phoneticPr fontId="3"/>
  </si>
  <si>
    <t>加算上限額
（円）</t>
    <rPh sb="0" eb="2">
      <t>カサン</t>
    </rPh>
    <rPh sb="2" eb="5">
      <t>ジョウゲンガク</t>
    </rPh>
    <phoneticPr fontId="3"/>
  </si>
  <si>
    <t>注２）加算上限額（円）は、面積×上限単価（円）及び200万円のうち、いずれか低い額とする。</t>
    <phoneticPr fontId="3"/>
  </si>
  <si>
    <t>　　５　集落機能強化加算の経過措置</t>
    <rPh sb="4" eb="12">
      <t>シュウラクキノウキョウカカサン</t>
    </rPh>
    <rPh sb="13" eb="17">
      <t>ケイカソチ</t>
    </rPh>
    <phoneticPr fontId="3"/>
  </si>
  <si>
    <t>第４  集落マスタープラン（必須事項）</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</si>
  <si>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</si>
  <si>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</si>
  <si>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</si>
  <si>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</si>
  <si>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</si>
  <si>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</si>
  <si>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</si>
  <si>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</si>
  <si>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</si>
  <si>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</si>
  <si>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</si>
  <si>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</si>
  <si>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</si>
  <si>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</si>
  <si>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</si>
  <si>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</si>
  <si>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</si>
  <si>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</si>
  <si>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</si>
  <si>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</si>
  <si>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</si>
  <si>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</si>
  <si>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共同で支え合う集団的かつ持続可能な体制整備</t>
    <phoneticPr fontId="3"/>
  </si>
  <si>
    <t>その他（自由記載）</t>
    <phoneticPr fontId="3"/>
  </si>
  <si>
    <t>（自由記載）</t>
    <phoneticPr fontId="3"/>
  </si>
  <si>
    <t>例)地域運営組織と連携した集落機能強化</t>
    <phoneticPr fontId="3"/>
  </si>
  <si>
    <t>注）体制整備単価の取組を行う協定については、第８との整合を図ること。</t>
  </si>
  <si>
    <t>第５　農業生産活動等として取り組むべき事項</t>
    <phoneticPr fontId="3"/>
  </si>
  <si>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</si>
  <si>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</si>
  <si>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多面的機能支払交付金実施要綱別紙１第５の２に基づく活動計画に定める施設と同一。</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</si>
  <si>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</si>
  <si>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</si>
  <si>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②既荒廃農地を協定農用地に含める場合には、荒廃農地の復旧又は畜産的利用を行う。</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</si>
  <si>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</si>
  <si>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</si>
  <si>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</si>
  <si>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</si>
  <si>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</si>
  <si>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</si>
  <si>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</si>
  <si>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　２  水路・農道等の管理方法（①②について該当する取組に○印を記入（複数可））</t>
    <phoneticPr fontId="3"/>
  </si>
  <si>
    <t>①水　路</t>
    <phoneticPr fontId="3"/>
  </si>
  <si>
    <t>ア）水路清掃</t>
    <phoneticPr fontId="3"/>
  </si>
  <si>
    <t>イ）草刈り</t>
    <phoneticPr fontId="3"/>
  </si>
  <si>
    <t>ウ）その他（</t>
    <phoneticPr fontId="3"/>
  </si>
  <si>
    <t>）</t>
    <phoneticPr fontId="3"/>
  </si>
  <si>
    <t>②農　道</t>
    <phoneticPr fontId="3"/>
  </si>
  <si>
    <t>ア）簡易補修</t>
    <rPh sb="2" eb="4">
      <t>カンイ</t>
    </rPh>
    <rPh sb="4" eb="6">
      <t>ホシュウ</t>
    </rPh>
    <phoneticPr fontId="3"/>
  </si>
  <si>
    <t>③その他</t>
    <phoneticPr fontId="3"/>
  </si>
  <si>
    <t>○○を実施する</t>
    <rPh sb="3" eb="5">
      <t>ジッシ</t>
    </rPh>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</si>
  <si>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</si>
  <si>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</si>
  <si>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</si>
  <si>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</si>
  <si>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</si>
  <si>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</si>
  <si>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</si>
  <si>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</si>
  <si>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</si>
  <si>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</si>
  <si>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</si>
  <si>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</si>
  <si>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</si>
  <si>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</si>
  <si>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t>
    <phoneticPr fontId="3"/>
  </si>
  <si>
    <t>作業環境の点検（作業前の危険箇所の確認・共有、機器の定期点検等）</t>
    <phoneticPr fontId="3"/>
  </si>
  <si>
    <t>共同取組活動で使用する機械又は使用頻度が高い機械（刈払機等）の安全な使用に関する取組の実施（研修・講習の開催又は参加等）</t>
    <phoneticPr fontId="3"/>
  </si>
  <si>
    <t>第６　促進計画の「その他促進計画の実施に関し当該市町村が必要と認める事項」により
　　規定すべき事項</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</si>
  <si>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</si>
  <si>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第７  交付金の使用方法等</t>
    <phoneticPr fontId="3"/>
  </si>
  <si>
    <t>　１　交付金は、集落を代表して</t>
    <phoneticPr fontId="3"/>
  </si>
  <si>
    <t>〇〇 〇〇（氏名）</t>
    <phoneticPr fontId="3"/>
  </si>
  <si>
    <t>が市町村より受け取る。</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</si>
  <si>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</si>
  <si>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</si>
  <si>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</si>
  <si>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</si>
  <si>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</si>
  <si>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</si>
  <si>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役員報酬</t>
    <rPh sb="2" eb="4">
      <t>ホウシュウ</t>
    </rPh>
    <phoneticPr fontId="3"/>
  </si>
  <si>
    <t>研修会開催費</t>
    <phoneticPr fontId="3"/>
  </si>
  <si>
    <t>②農業生産活動等の体制整備に向けた活動等の集落マスタープランの将来像を実現するための活動に対する経費</t>
    <phoneticPr fontId="3"/>
  </si>
  <si>
    <t>農産物等の販売促進関係費</t>
    <phoneticPr fontId="3"/>
  </si>
  <si>
    <t>都市住民との交流促進関係費</t>
    <phoneticPr fontId="3"/>
  </si>
  <si>
    <t>法人設立関係費</t>
    <phoneticPr fontId="3"/>
  </si>
  <si>
    <t>土地利用調整関係費</t>
    <phoneticPr fontId="3"/>
  </si>
  <si>
    <t>③水路、農道等の維持・管理等集落の共同取組活動に要する経費</t>
    <phoneticPr fontId="3"/>
  </si>
  <si>
    <t>道・水路管理費</t>
    <phoneticPr fontId="3"/>
  </si>
  <si>
    <t>（うち道・水路整備費）</t>
    <phoneticPr fontId="3"/>
  </si>
  <si>
    <t>農地管理費</t>
    <phoneticPr fontId="3"/>
  </si>
  <si>
    <t>（うち農地整備費）</t>
    <phoneticPr fontId="3"/>
  </si>
  <si>
    <t>④農用地の維持・管理活動を行う者に対する経費</t>
    <phoneticPr fontId="3"/>
  </si>
  <si>
    <t>鳥獣害防止対策費</t>
    <phoneticPr fontId="3"/>
  </si>
  <si>
    <t>共同利用機械購入等費</t>
    <phoneticPr fontId="3"/>
  </si>
  <si>
    <t>共同利用施設整備等費</t>
    <phoneticPr fontId="3"/>
  </si>
  <si>
    <t>多面的機能増進活動費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</si>
  <si>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</si>
  <si>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</si>
  <si>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</si>
  <si>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</si>
  <si>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</si>
  <si>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</si>
  <si>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令和7年度</t>
  </si>
  <si>
    <t>令和8年度</t>
  </si>
  <si>
    <t>令和9年度</t>
  </si>
  <si>
    <t>積立予定額</t>
    <phoneticPr fontId="3"/>
  </si>
  <si>
    <t>積立累計額</t>
    <phoneticPr fontId="3"/>
  </si>
  <si>
    <t>（ｲ）取り崩し予定等</t>
    <phoneticPr fontId="3"/>
  </si>
  <si>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</si>
  <si>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</si>
  <si>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</si>
  <si>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円</t>
    <rPh sb="0" eb="1">
      <t>エン</t>
    </rPh>
    <phoneticPr fontId="3"/>
  </si>
  <si>
    <t>　○ 使途：　</t>
    <phoneticPr fontId="3"/>
  </si>
  <si>
    <t>畦塗り機購入</t>
    <rPh sb="1" eb="2">
      <t>ヌリ</t>
    </rPh>
    <rPh sb="3" eb="4">
      <t>キ</t>
    </rPh>
    <rPh sb="4" eb="6">
      <t>コウニュウ</t>
    </rPh>
    <phoneticPr fontId="3"/>
  </si>
  <si>
    <t>に要する経費（具体的に記入）</t>
    <rPh sb="7" eb="10">
      <t>グタイテキ</t>
    </rPh>
    <rPh sb="11" eb="13">
      <t>キニュウ</t>
    </rPh>
    <phoneticPr fontId="3"/>
  </si>
  <si>
    <t>　　②　次年度への繰越</t>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</si>
  <si>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</si>
  <si>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</si>
  <si>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</si>
  <si>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災害の発生が想定される箇所・施設に対する災害発生時の復旧等</t>
    <phoneticPr fontId="3"/>
  </si>
  <si>
    <t>　４　次のとおり支出する。</t>
    <phoneticPr fontId="3"/>
  </si>
  <si>
    <t xml:space="preserve">個 人 配 分 分
</t>
    <phoneticPr fontId="3"/>
  </si>
  <si>
    <t>（配分割合：</t>
    <phoneticPr fontId="3"/>
  </si>
  <si>
    <t>　【体制整備単価の場合に使用】</t>
    <phoneticPr fontId="3"/>
  </si>
  <si>
    <t>第８  農業生産活動等の体制整備として取り組むべき事項（体制整備単価交付必須事項）</t>
    <phoneticPr fontId="3"/>
  </si>
  <si>
    <t>　ネットワーク化活動計画を作成する。</t>
    <rPh sb="7" eb="8">
      <t>カ</t>
    </rPh>
    <rPh sb="8" eb="12">
      <t>カツドウケイカク</t>
    </rPh>
    <phoneticPr fontId="3"/>
  </si>
  <si>
    <t>取　り　組　む　べ　き　事　項</t>
    <phoneticPr fontId="3"/>
  </si>
  <si>
    <t>別紙様式２に定めるネットワーク化活動計画を令和11年度までに作成する。</t>
    <rPh sb="15" eb="16">
      <t>カ</t>
    </rPh>
    <rPh sb="16" eb="20">
      <t>カツドウケイカク</t>
    </rPh>
    <phoneticPr fontId="3"/>
  </si>
  <si>
    <t xml:space="preserve">　【加算措置の場合に使用】 </t>
    <phoneticPr fontId="3"/>
  </si>
  <si>
    <t>第９　加算措置適用のために取り組むべき事項（加算措置必須要件）</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</si>
  <si>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</si>
  <si>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</si>
  <si>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</si>
  <si>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</si>
  <si>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</si>
  <si>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</si>
  <si>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t>
    <phoneticPr fontId="3"/>
  </si>
  <si>
    <t>②超急傾斜農地保全管理加算</t>
    <phoneticPr fontId="3"/>
  </si>
  <si>
    <t>超急傾斜農地
○○団地
対象農用地面積：
●●●㎡ 
（田●●㎡,畑●●㎡）</t>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</si>
  <si>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</si>
  <si>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t>③ネットワーク化加算</t>
    <rPh sb="7" eb="8">
      <t>カ</t>
    </rPh>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</si>
  <si>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</si>
  <si>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</si>
  <si>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t>④スマート農業加算</t>
    <rPh sb="5" eb="7">
      <t>ノウギョウ</t>
    </rPh>
    <phoneticPr fontId="3"/>
  </si>
  <si>
    <t>例) 協定農用地の担い手の集積面積●●ha（令和６年度末）</t>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</si>
  <si>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</si>
  <si>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t>⑤集落機能強化加算の経過措置</t>
    <phoneticPr fontId="3"/>
  </si>
  <si>
    <t>例) 高齢化や非農業者との混住化が進むことで、共同取組活動の参加者が減少し、集落機能が低下している。</t>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</si>
  <si>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</si>
  <si>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注１）</t>
    <phoneticPr fontId="3"/>
  </si>
  <si>
    <t>現状は、取組期間の開始年度における地域の現状を記載する。</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</si>
  <si>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</si>
  <si>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</si>
  <si>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（別紙様式３）</t>
    <rPh sb="1" eb="3">
      <t>ベッシ</t>
    </rPh>
    <rPh sb="3" eb="5">
      <t>ヨウシキ</t>
    </rPh>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</si>
  <si>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</si>
  <si>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</si>
  <si>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</si>
  <si>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</si>
  <si>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</si>
  <si>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</si>
  <si>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r>
      <t xml:space="preserve">○○用水路
</t>
    </r>
    <r>
      <rPr>
        <sz val="10"/>
        <color rgb="FFFF0000"/>
        <rFont val="ＭＳ 明朝"/>
        <family val="1"/>
        <charset val="128"/>
      </rPr>
      <t>（水路の延長○m)</t>
    </r>
    <rPh sb="2" eb="5">
      <t>ヨウスイロ</t>
    </rPh>
    <phoneticPr fontId="3"/>
  </si>
  <si>
    <t>○○地区水利組合</t>
    <rPh sb="2" eb="4">
      <t>チク</t>
    </rPh>
    <rPh sb="4" eb="8">
      <t>スイリクミアイ</t>
    </rPh>
    <phoneticPr fontId="3"/>
  </si>
  <si>
    <t>○○地区水利組合規程による</t>
    <rPh sb="2" eb="8">
      <t>チクスイリクミアイ</t>
    </rPh>
    <rPh sb="8" eb="10">
      <t>キテイ</t>
    </rPh>
    <phoneticPr fontId="3"/>
  </si>
  <si>
    <t>代表者
○○○○</t>
    <rPh sb="0" eb="3">
      <t>ダイヒョウシャ</t>
    </rPh>
    <phoneticPr fontId="3"/>
  </si>
  <si>
    <t>排水路</t>
    <phoneticPr fontId="3"/>
  </si>
  <si>
    <r>
      <t xml:space="preserve">○○排水路
</t>
    </r>
    <r>
      <rPr>
        <sz val="10"/>
        <color rgb="FFFF0000"/>
        <rFont val="ＭＳ 明朝"/>
        <family val="1"/>
        <charset val="128"/>
      </rPr>
      <t>（水路の延長○m)</t>
    </r>
    <rPh sb="2" eb="5">
      <t>ハイスイロ</t>
    </rPh>
    <phoneticPr fontId="3"/>
  </si>
  <si>
    <t>道　路</t>
    <phoneticPr fontId="3"/>
  </si>
  <si>
    <r>
      <t xml:space="preserve">○○農道
</t>
    </r>
    <r>
      <rPr>
        <sz val="10"/>
        <color rgb="FFFF0000"/>
        <rFont val="ＭＳ 明朝"/>
        <family val="1"/>
        <charset val="128"/>
      </rPr>
      <t>（水路の延長○m)</t>
    </r>
    <rPh sb="2" eb="4">
      <t>ノウドウ</t>
    </rPh>
    <phoneticPr fontId="3"/>
  </si>
  <si>
    <t>○○○○他</t>
    <rPh sb="4" eb="5">
      <t>ホカ</t>
    </rPh>
    <phoneticPr fontId="3"/>
  </si>
  <si>
    <t>○○集落申し合わせ事項による</t>
    <rPh sb="2" eb="4">
      <t>シュウラク</t>
    </rPh>
    <rPh sb="4" eb="5">
      <t>モウ</t>
    </rPh>
    <rPh sb="6" eb="7">
      <t>ア</t>
    </rPh>
    <rPh sb="9" eb="11">
      <t>ジコウ</t>
    </rPh>
    <phoneticPr fontId="3"/>
  </si>
  <si>
    <t>○○○○</t>
  </si>
  <si>
    <t>（別紙様式４）</t>
    <phoneticPr fontId="3"/>
  </si>
  <si>
    <t>年度土地改良通年施行実施計画書</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</si>
  <si>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</si>
  <si>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</si>
  <si>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</si>
  <si>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</si>
  <si>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</si>
  <si>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</si>
  <si>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</si>
  <si>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</si>
  <si>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</si>
  <si>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</si>
  <si>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</si>
  <si>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</si>
  <si>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</si>
  <si>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</si>
  <si>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</si>
  <si>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</si>
  <si>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</si>
  <si>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</si>
  <si>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</si>
  <si>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</si>
  <si>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</si>
  <si>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</si>
  <si>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</si>
  <si>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</si>
  <si>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</si>
  <si>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</si>
  <si>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</si>
  <si>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</si>
  <si>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</si>
  <si>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</si>
  <si>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住　所</t>
    <phoneticPr fontId="3"/>
  </si>
  <si>
    <t>氏　名（農 業 者）</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</si>
  <si>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</si>
  <si>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</si>
  <si>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</si>
  <si>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</si>
  <si>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</si>
  <si>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</si>
  <si>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</si>
  <si>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</si>
  <si>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地　目</t>
    <phoneticPr fontId="3"/>
  </si>
  <si>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</si>
  <si>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</si>
  <si>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</si>
  <si>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</si>
  <si>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</si>
  <si>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</si>
  <si>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</si>
  <si>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</si>
  <si>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</si>
  <si>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</si>
  <si>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</si>
  <si>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</si>
  <si>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</si>
  <si>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</si>
  <si>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</si>
  <si>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</si>
  <si>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</si>
  <si>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</si>
  <si>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</si>
  <si>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④農地法面の崩壊を未然に防止するため、定期的な点検を行う。　</t>
    <phoneticPr fontId="3"/>
  </si>
  <si>
    <t>２  水路・農道等の管理方法（①②について該当する取組に○印を記入（複数可））</t>
  </si>
  <si>
    <t>３　多面的機能を増進する活動として以下の項目から１項目以上選択し、実施する。</t>
  </si>
  <si>
    <t>注）上記１～３で定めた活動を行う際は、作業安全対策の観点から、以下の点に努めること。</t>
    <phoneticPr fontId="3"/>
  </si>
  <si>
    <t>・作業環境の点検（作業前の危険箇所の確認・共有、機器の定期点検等）</t>
    <phoneticPr fontId="3"/>
  </si>
  <si>
    <t>・活動で使用する機械又は使用頻度が高い機械（刈払機等）の安全な使用に関する取組の実施（研修・講習の開催又は参加等）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</si>
  <si>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</si>
  <si>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</si>
  <si>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令和</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</si>
  <si>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</si>
  <si>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</si>
  <si>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【市町村名：　　　　　　　】</t>
    <phoneticPr fontId="3"/>
  </si>
  <si>
    <t>】</t>
    <phoneticPr fontId="3"/>
  </si>
  <si>
    <t>交付対象者の氏名・名称</t>
    <phoneticPr fontId="3"/>
  </si>
  <si>
    <t>字</t>
    <phoneticPr fontId="3"/>
  </si>
  <si>
    <t>地番</t>
    <phoneticPr fontId="3"/>
  </si>
  <si>
    <t>地目</t>
    <phoneticPr fontId="3"/>
  </si>
  <si>
    <t>10ａ当たりの単価</t>
    <phoneticPr fontId="3"/>
  </si>
  <si>
    <t>設定
権利等</t>
    <phoneticPr fontId="3"/>
  </si>
  <si>
    <t>農用地の管理</t>
    <rPh sb="0" eb="3">
      <t>ノウヨウチ</t>
    </rPh>
    <rPh sb="4" eb="6">
      <t>カンリ</t>
    </rPh>
    <phoneticPr fontId="3"/>
  </si>
  <si>
    <t>設定権利者等名(出し手)</t>
    <phoneticPr fontId="3"/>
  </si>
  <si>
    <t>始期</t>
    <phoneticPr fontId="3"/>
  </si>
  <si>
    <t>終期</t>
    <phoneticPr fontId="3"/>
  </si>
  <si>
    <t>契約
年月日</t>
    <phoneticPr fontId="3"/>
  </si>
  <si>
    <t>交付金の使用方法</t>
    <phoneticPr fontId="3"/>
  </si>
  <si>
    <t>農用地の現況</t>
    <rPh sb="0" eb="3">
      <t>ノウヨウチ</t>
    </rPh>
    <rPh sb="4" eb="6">
      <t>ゲンキョウ</t>
    </rPh>
    <phoneticPr fontId="3"/>
  </si>
  <si>
    <t>具体的活動内容</t>
    <rPh sb="0" eb="3">
      <t>グタイテキ</t>
    </rPh>
    <rPh sb="3" eb="7">
      <t>カツドウナイヨウ</t>
    </rPh>
    <phoneticPr fontId="3"/>
  </si>
  <si>
    <t>【個別協定の場合】</t>
    <rPh sb="1" eb="3">
      <t>コベツ</t>
    </rPh>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</si>
  <si>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</si>
  <si>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</si>
  <si>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</si>
  <si>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</si>
  <si>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</si>
  <si>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</si>
  <si>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</si>
  <si>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</si>
  <si>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</si>
  <si>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</si>
  <si>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</si>
  <si>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</si>
  <si>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</si>
  <si>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</si>
  <si>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</si>
  <si>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</si>
  <si>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</si>
  <si>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</si>
  <si>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</si>
  <si>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</si>
  <si>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</si>
  <si>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</si>
  <si>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</si>
  <si>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</si>
  <si>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</si>
  <si>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</si>
  <si>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</si>
  <si>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</si>
  <si>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</si>
  <si>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</si>
  <si>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</si>
  <si>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</si>
  <si>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</si>
  <si>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</si>
  <si>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</si>
  <si>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</si>
  <si>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</si>
  <si>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</si>
  <si>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</si>
  <si>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 別紙様式８ ）</t>
    <phoneticPr fontId="3"/>
  </si>
  <si>
    <t>環境負荷低減のチェックシート（集落協定向け）</t>
    <phoneticPr fontId="3"/>
  </si>
  <si>
    <t>申請時
（します）</t>
    <rPh sb="0" eb="3">
      <t>シンセイジ</t>
    </rPh>
    <phoneticPr fontId="3"/>
  </si>
  <si>
    <t>（１）適正な施肥</t>
    <phoneticPr fontId="3"/>
  </si>
  <si>
    <t>報告時
（しました）</t>
    <rPh sb="0" eb="3">
      <t>ホウコクジ</t>
    </rPh>
    <phoneticPr fontId="3"/>
  </si>
  <si>
    <t>（５）廃棄物の発生抑制、
　　 適正な循環的な利用及び適正な処分</t>
    <phoneticPr fontId="3"/>
  </si>
  <si>
    <t>①</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</si>
  <si>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</si>
  <si>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t>⑧</t>
    <phoneticPr fontId="3"/>
  </si>
  <si>
    <t>共同取組活動を行う場合には、
プラ等廃棄物の削減に努め、適正に処理</t>
    <phoneticPr fontId="3"/>
  </si>
  <si>
    <t>②</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</si>
  <si>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</si>
  <si>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t>（６）生物多様性への悪影響の防止</t>
    <phoneticPr fontId="3"/>
  </si>
  <si>
    <t>⑨</t>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</si>
  <si>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</si>
  <si>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t>（２）適正な防除</t>
    <phoneticPr fontId="3"/>
  </si>
  <si>
    <t>③</t>
    <phoneticPr fontId="3"/>
  </si>
  <si>
    <t>⑩</t>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</si>
  <si>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</si>
  <si>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t>④</t>
    <phoneticPr fontId="3"/>
  </si>
  <si>
    <t>⑪</t>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</si>
  <si>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</si>
  <si>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（３）エネルギーの節減</t>
    <phoneticPr fontId="3"/>
  </si>
  <si>
    <t>（７）環境関係法令の遵守等</t>
    <phoneticPr fontId="3"/>
  </si>
  <si>
    <t>⑤</t>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</si>
  <si>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</si>
  <si>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t>⑫</t>
    <phoneticPr fontId="3"/>
  </si>
  <si>
    <t>「みどりの食料システム戦略」を理解し、適切な事業実施に努める</t>
    <phoneticPr fontId="3"/>
  </si>
  <si>
    <t>⑬</t>
    <phoneticPr fontId="3"/>
  </si>
  <si>
    <t>関係法令の遵守</t>
    <phoneticPr fontId="3"/>
  </si>
  <si>
    <t>⑥</t>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</si>
  <si>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</si>
  <si>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t>⑭</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</si>
  <si>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</si>
  <si>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⑮</t>
    <phoneticPr fontId="3"/>
  </si>
  <si>
    <t>正しい知識に基づく作業安全に努める</t>
    <phoneticPr fontId="3"/>
  </si>
  <si>
    <t>（４）悪臭及び害虫の発生防止</t>
    <phoneticPr fontId="3"/>
  </si>
  <si>
    <t>⑦</t>
    <phoneticPr fontId="3"/>
  </si>
  <si>
    <t>共同取組活動を行う場合には、
悪臭・害虫の発生防止・低減に努める</t>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</si>
  <si>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</si>
  <si>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</si>
  <si>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 別紙様式９ ）</t>
    <phoneticPr fontId="3"/>
  </si>
  <si>
    <t>環境負荷低減のチェックシート（個別協定向け）</t>
    <rPh sb="15" eb="17">
      <t>コベツ</t>
    </rPh>
    <phoneticPr fontId="3"/>
  </si>
  <si>
    <t>肥料の適正な保管</t>
    <phoneticPr fontId="3"/>
  </si>
  <si>
    <t>悪臭・害虫の発生防止・低減に努める</t>
    <phoneticPr fontId="3"/>
  </si>
  <si>
    <t>肥料の使用状況等の記録・保存に努める</t>
    <phoneticPr fontId="3"/>
  </si>
  <si>
    <t>作物特性のデータに基づく施肥設計を検討</t>
    <phoneticPr fontId="3"/>
  </si>
  <si>
    <t>有機物の適正な施用による土づくりを検討</t>
    <phoneticPr fontId="3"/>
  </si>
  <si>
    <t>プラ等廃棄物の削減に努め、適正に処理</t>
    <phoneticPr fontId="3"/>
  </si>
  <si>
    <t>病害虫・雑草が発生しにくい生産条件の整備を検討</t>
    <phoneticPr fontId="3"/>
  </si>
  <si>
    <t>病害虫・雑草の発生状況を把握した上で防除の要否及びタイミングの判断に努める（再掲）</t>
    <rPh sb="38" eb="40">
      <t>サイケイ</t>
    </rPh>
    <phoneticPr fontId="3"/>
  </si>
  <si>
    <t>病害虫・雑草の発生状況を把握した上で防除の要否及びタイミングの判断に努める</t>
    <phoneticPr fontId="3"/>
  </si>
  <si>
    <t>多様な防除方法（防除資材、使用方法）を活用した防除を検討（再掲）</t>
    <rPh sb="29" eb="31">
      <t>サイケイ</t>
    </rPh>
    <phoneticPr fontId="3"/>
  </si>
  <si>
    <t>多様な防除方法（防除資材、使用方法）を活用した防除を検討</t>
    <phoneticPr fontId="3"/>
  </si>
  <si>
    <t>農薬の適正な使用・保管</t>
    <phoneticPr fontId="3"/>
  </si>
  <si>
    <t>⑯</t>
    <phoneticPr fontId="3"/>
  </si>
  <si>
    <t>農薬の使用状況等の記録・保存</t>
    <phoneticPr fontId="3"/>
  </si>
  <si>
    <t>⑰</t>
    <phoneticPr fontId="3"/>
  </si>
  <si>
    <t>⑱</t>
    <phoneticPr fontId="3"/>
  </si>
  <si>
    <t>環境配慮の取組方針の策定や研修の実施に努める</t>
    <phoneticPr fontId="3"/>
  </si>
  <si>
    <t>⑲</t>
    <phoneticPr fontId="3"/>
  </si>
  <si>
    <t>農機・ハウス等の電気・燃料の使用状況の記録・保存に努める</t>
    <phoneticPr fontId="3"/>
  </si>
  <si>
    <t>省エネを意識し、不必要・非効率なエネルギー消費をしないよう努める</t>
    <phoneticPr fontId="3"/>
  </si>
  <si>
    <t>⑳</t>
    <phoneticPr fontId="3"/>
  </si>
  <si>
    <t>○ネットワーク化活動計画</t>
    <rPh sb="7" eb="8">
      <t>カ</t>
    </rPh>
    <rPh sb="8" eb="12">
      <t>カツドウケイカク</t>
    </rPh>
    <phoneticPr fontId="3"/>
  </si>
  <si>
    <t>１．体制整備の基本方針</t>
    <rPh sb="2" eb="6">
      <t>タイセイセイビ</t>
    </rPh>
    <rPh sb="7" eb="11">
      <t>キホンホウシン</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</si>
  <si>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</si>
  <si>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</si>
  <si>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9"/>
  </si>
  <si>
    <t>令和８年６月</t>
    <rPh sb="0" eb="2">
      <t>レイワ</t>
    </rPh>
    <rPh sb="3" eb="4">
      <t>ネン</t>
    </rPh>
    <rPh sb="5" eb="6">
      <t>ガツ</t>
    </rPh>
    <phoneticPr fontId="3"/>
  </si>
  <si>
    <t>第１回変更</t>
    <rPh sb="0" eb="1">
      <t>ダイ</t>
    </rPh>
    <rPh sb="2" eb="3">
      <t>カイ</t>
    </rPh>
    <rPh sb="3" eb="5">
      <t>ヘンコウ</t>
    </rPh>
    <phoneticPr fontId="89"/>
  </si>
  <si>
    <t>第２回変更</t>
    <rPh sb="0" eb="1">
      <t>ダイ</t>
    </rPh>
    <rPh sb="2" eb="3">
      <t>カイ</t>
    </rPh>
    <rPh sb="3" eb="5">
      <t>ヘンコウ</t>
    </rPh>
    <phoneticPr fontId="89"/>
  </si>
  <si>
    <t>第３回変更</t>
    <rPh sb="0" eb="1">
      <t>ダイ</t>
    </rPh>
    <rPh sb="2" eb="3">
      <t>カイ</t>
    </rPh>
    <rPh sb="3" eb="5">
      <t>ヘンコウ</t>
    </rPh>
    <phoneticPr fontId="89"/>
  </si>
  <si>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</si>
  <si>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</si>
  <si>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9"/>
  </si>
  <si>
    <t>取組</t>
    <rPh sb="0" eb="2">
      <t>トリクミ</t>
    </rPh>
    <phoneticPr fontId="89"/>
  </si>
  <si>
    <t>対象協定</t>
    <rPh sb="0" eb="4">
      <t>タイショウキョウテイ</t>
    </rPh>
    <phoneticPr fontId="89"/>
  </si>
  <si>
    <t>要記載項目</t>
    <rPh sb="0" eb="3">
      <t>ヨウキサイ</t>
    </rPh>
    <rPh sb="3" eb="5">
      <t>コウモク</t>
    </rPh>
    <phoneticPr fontId="89"/>
  </si>
  <si>
    <t>○</t>
  </si>
  <si>
    <r>
      <t>①ネットワーク化</t>
    </r>
    <r>
      <rPr>
        <vertAlign val="superscript"/>
        <sz val="11"/>
        <rFont val="ＭＳ 明朝"/>
        <family val="1"/>
        <charset val="128"/>
      </rPr>
      <t>注２）</t>
    </r>
    <rPh sb="7" eb="8">
      <t>カ</t>
    </rPh>
    <rPh sb="8" eb="9">
      <t>チュウ</t>
    </rPh>
    <phoneticPr fontId="89"/>
  </si>
  <si>
    <t>新たにネットワーク化を行い10ha以上のネットワークを形成する集落協定</t>
    <phoneticPr fontId="89"/>
  </si>
  <si>
    <t>２－１～２－７</t>
    <phoneticPr fontId="89"/>
  </si>
  <si>
    <t>新たにネットワーク化を行う予定はないが、既に10ha以上のネットワークを形成しており、体制の維持、向上を図ろうとする集落協定</t>
    <phoneticPr fontId="89"/>
  </si>
  <si>
    <r>
      <t>②統合</t>
    </r>
    <r>
      <rPr>
        <vertAlign val="superscript"/>
        <sz val="11"/>
        <rFont val="ＭＳ 明朝"/>
        <family val="1"/>
        <charset val="128"/>
      </rPr>
      <t>注３）</t>
    </r>
    <rPh sb="1" eb="3">
      <t>トウゴウ</t>
    </rPh>
    <rPh sb="3" eb="4">
      <t>チュウ</t>
    </rPh>
    <phoneticPr fontId="89"/>
  </si>
  <si>
    <t>新たに統合を行い10ha以上の集落協定を形成する集落協定</t>
    <phoneticPr fontId="89"/>
  </si>
  <si>
    <t>３－１～３－５</t>
    <phoneticPr fontId="89"/>
  </si>
  <si>
    <t>新たに統合を行う予定はないが、既に10ha以上の集落協定となっており、体制の維持、向上を図ろうとする集落協定</t>
    <phoneticPr fontId="89"/>
  </si>
  <si>
    <t>３－２、
３－６、３－７</t>
    <phoneticPr fontId="89"/>
  </si>
  <si>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9"/>
  </si>
  <si>
    <t>１組織以上の農業者団体以外の組織又は構成員の10%以上の非農業者が活動に参画する集落協定</t>
    <phoneticPr fontId="89"/>
  </si>
  <si>
    <t>４－１～４－３</t>
    <phoneticPr fontId="89"/>
  </si>
  <si>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</si>
  <si>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</si>
  <si>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</si>
  <si>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</si>
  <si>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</si>
  <si>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</si>
  <si>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9"/>
  </si>
  <si>
    <t>協定面積</t>
    <rPh sb="0" eb="4">
      <t>キョウテイメンセキ</t>
    </rPh>
    <phoneticPr fontId="89"/>
  </si>
  <si>
    <t>地域計画</t>
    <rPh sb="0" eb="4">
      <t>チイキケイカク</t>
    </rPh>
    <phoneticPr fontId="89"/>
  </si>
  <si>
    <t>現在の連携状況</t>
    <rPh sb="0" eb="2">
      <t>ゲンザイ</t>
    </rPh>
    <rPh sb="3" eb="7">
      <t>レンケイジョウキョウ</t>
    </rPh>
    <phoneticPr fontId="89"/>
  </si>
  <si>
    <t>自協定が存する計画区域内</t>
    <rPh sb="0" eb="3">
      <t>ジキョウテイ</t>
    </rPh>
    <rPh sb="4" eb="5">
      <t>ゾン</t>
    </rPh>
    <rPh sb="7" eb="12">
      <t>ケイカククイキナイ</t>
    </rPh>
    <phoneticPr fontId="89"/>
  </si>
  <si>
    <t>別の計画区域内</t>
    <rPh sb="0" eb="1">
      <t>ベツ</t>
    </rPh>
    <rPh sb="2" eb="7">
      <t>ケイカククイキナイ</t>
    </rPh>
    <phoneticPr fontId="89"/>
  </si>
  <si>
    <t>連携済</t>
    <rPh sb="0" eb="3">
      <t>レンケイズ</t>
    </rPh>
    <phoneticPr fontId="89"/>
  </si>
  <si>
    <t>今後連携</t>
    <rPh sb="0" eb="4">
      <t>コンゴレンケイ</t>
    </rPh>
    <phoneticPr fontId="89"/>
  </si>
  <si>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</si>
  <si>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</si>
  <si>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</si>
  <si>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</si>
  <si>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</si>
  <si>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</si>
  <si>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9"/>
  </si>
  <si>
    <t>①リーダーの人材不足</t>
    <rPh sb="6" eb="10">
      <t>ジンザイブソク</t>
    </rPh>
    <phoneticPr fontId="89"/>
  </si>
  <si>
    <t>⑤農作業機械や施設の不足</t>
    <rPh sb="1" eb="6">
      <t>ノウサギョウキカイ</t>
    </rPh>
    <rPh sb="7" eb="9">
      <t>シセツ</t>
    </rPh>
    <rPh sb="10" eb="12">
      <t>フソク</t>
    </rPh>
    <phoneticPr fontId="89"/>
  </si>
  <si>
    <t>②事務担当者の人材不足</t>
    <rPh sb="1" eb="6">
      <t>ジムタントウシャ</t>
    </rPh>
    <rPh sb="7" eb="11">
      <t>ジンザイブソク</t>
    </rPh>
    <phoneticPr fontId="89"/>
  </si>
  <si>
    <t>⑥知見や技術の不足</t>
    <rPh sb="1" eb="3">
      <t>チケン</t>
    </rPh>
    <rPh sb="4" eb="6">
      <t>ギジュツ</t>
    </rPh>
    <rPh sb="7" eb="9">
      <t>フソク</t>
    </rPh>
    <phoneticPr fontId="89"/>
  </si>
  <si>
    <t>③共同取組活動参加者の附則</t>
    <rPh sb="1" eb="3">
      <t>キョウドウ</t>
    </rPh>
    <rPh sb="3" eb="7">
      <t>トリクミカツドウ</t>
    </rPh>
    <rPh sb="7" eb="10">
      <t>サンカシャ</t>
    </rPh>
    <rPh sb="11" eb="13">
      <t>フソク</t>
    </rPh>
    <phoneticPr fontId="89"/>
  </si>
  <si>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9"/>
  </si>
  <si>
    <t>④農業の担い手の人材不足</t>
    <rPh sb="1" eb="3">
      <t>ノウギョウ</t>
    </rPh>
    <rPh sb="4" eb="5">
      <t>ニナ</t>
    </rPh>
    <rPh sb="6" eb="7">
      <t>テ</t>
    </rPh>
    <rPh sb="8" eb="12">
      <t>ジンザイブソク</t>
    </rPh>
    <phoneticPr fontId="89"/>
  </si>
  <si>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9"/>
  </si>
  <si>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</si>
  <si>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</si>
  <si>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9"/>
  </si>
  <si>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9"/>
  </si>
  <si>
    <t>⑥農業の担い手育成</t>
    <rPh sb="1" eb="3">
      <t>ノウギョウ</t>
    </rPh>
    <rPh sb="4" eb="5">
      <t>ニナ</t>
    </rPh>
    <rPh sb="6" eb="7">
      <t>テ</t>
    </rPh>
    <rPh sb="7" eb="9">
      <t>イクセイ</t>
    </rPh>
    <phoneticPr fontId="89"/>
  </si>
  <si>
    <t>⑦地場農産物の加工・販売</t>
    <rPh sb="1" eb="3">
      <t>ジバ</t>
    </rPh>
    <rPh sb="3" eb="6">
      <t>ノウサンブツ</t>
    </rPh>
    <rPh sb="7" eb="9">
      <t>カコウ</t>
    </rPh>
    <rPh sb="10" eb="12">
      <t>ハンバイ</t>
    </rPh>
    <phoneticPr fontId="89"/>
  </si>
  <si>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9"/>
  </si>
  <si>
    <t>⑧鳥獣害対策</t>
    <rPh sb="1" eb="6">
      <t>チョウジュウガイタイサク</t>
    </rPh>
    <phoneticPr fontId="89"/>
  </si>
  <si>
    <t>③水路・農道等の維持管理</t>
    <rPh sb="1" eb="3">
      <t>スイロ</t>
    </rPh>
    <rPh sb="4" eb="6">
      <t>ノウドウ</t>
    </rPh>
    <rPh sb="6" eb="7">
      <t>トウ</t>
    </rPh>
    <rPh sb="8" eb="10">
      <t>イジ</t>
    </rPh>
    <rPh sb="10" eb="12">
      <t>カンリ</t>
    </rPh>
    <phoneticPr fontId="89"/>
  </si>
  <si>
    <t>⑨多面的機能を増進する活動</t>
    <rPh sb="1" eb="6">
      <t>タメンテキキノウ</t>
    </rPh>
    <rPh sb="7" eb="9">
      <t>ゾウシン</t>
    </rPh>
    <rPh sb="11" eb="13">
      <t>カツドウ</t>
    </rPh>
    <phoneticPr fontId="89"/>
  </si>
  <si>
    <t>④機械・施設の共同利用</t>
    <rPh sb="1" eb="3">
      <t>キカイ</t>
    </rPh>
    <rPh sb="4" eb="6">
      <t>シセツ</t>
    </rPh>
    <rPh sb="7" eb="9">
      <t>キョウドウ</t>
    </rPh>
    <rPh sb="9" eb="11">
      <t>リヨウ</t>
    </rPh>
    <phoneticPr fontId="89"/>
  </si>
  <si>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9"/>
  </si>
  <si>
    <t>⑤農作業の共同化</t>
    <rPh sb="1" eb="4">
      <t>ノウサギョウ</t>
    </rPh>
    <rPh sb="5" eb="8">
      <t>キョウドウカ</t>
    </rPh>
    <phoneticPr fontId="89"/>
  </si>
  <si>
    <t>２－５．連携方法</t>
    <rPh sb="4" eb="8">
      <t>レンケイホウホウ</t>
    </rPh>
    <phoneticPr fontId="3"/>
  </si>
  <si>
    <t>連携方法</t>
    <rPh sb="0" eb="4">
      <t>レンケイホウホウ</t>
    </rPh>
    <phoneticPr fontId="89"/>
  </si>
  <si>
    <r>
      <t>①協議会型</t>
    </r>
    <r>
      <rPr>
        <vertAlign val="superscript"/>
        <sz val="11"/>
        <rFont val="ＭＳ 明朝"/>
        <family val="1"/>
        <charset val="128"/>
      </rPr>
      <t>注１）</t>
    </r>
    <rPh sb="1" eb="4">
      <t>キョウギカイ</t>
    </rPh>
    <rPh sb="4" eb="5">
      <t>ガタ</t>
    </rPh>
    <rPh sb="5" eb="6">
      <t>チュウ</t>
    </rPh>
    <phoneticPr fontId="89"/>
  </si>
  <si>
    <r>
      <t>③共同委託型</t>
    </r>
    <r>
      <rPr>
        <vertAlign val="superscript"/>
        <sz val="11"/>
        <rFont val="ＭＳ 明朝"/>
        <family val="1"/>
        <charset val="128"/>
      </rPr>
      <t>注３）</t>
    </r>
    <rPh sb="1" eb="5">
      <t>キョウドウイタク</t>
    </rPh>
    <rPh sb="5" eb="6">
      <t>ガタ</t>
    </rPh>
    <rPh sb="6" eb="7">
      <t>チュウ</t>
    </rPh>
    <phoneticPr fontId="89"/>
  </si>
  <si>
    <r>
      <t>②活動連携型</t>
    </r>
    <r>
      <rPr>
        <vertAlign val="superscript"/>
        <sz val="11"/>
        <rFont val="ＭＳ 明朝"/>
        <family val="1"/>
        <charset val="128"/>
      </rPr>
      <t>注２）</t>
    </r>
    <rPh sb="1" eb="3">
      <t>カツドウ</t>
    </rPh>
    <rPh sb="3" eb="5">
      <t>レンケイ</t>
    </rPh>
    <rPh sb="5" eb="6">
      <t>ガタ</t>
    </rPh>
    <rPh sb="6" eb="7">
      <t>チュウ</t>
    </rPh>
    <phoneticPr fontId="89"/>
  </si>
  <si>
    <t>④その他（</t>
    <rPh sb="3" eb="4">
      <t>タ</t>
    </rPh>
    <phoneticPr fontId="89"/>
  </si>
  <si>
    <t>　　　）</t>
    <phoneticPr fontId="3"/>
  </si>
  <si>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</si>
  <si>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</si>
  <si>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9"/>
  </si>
  <si>
    <t>R6以前</t>
    <rPh sb="2" eb="4">
      <t>イゼン</t>
    </rPh>
    <phoneticPr fontId="89"/>
  </si>
  <si>
    <t>R7</t>
    <phoneticPr fontId="89"/>
  </si>
  <si>
    <t>R8</t>
    <phoneticPr fontId="89"/>
  </si>
  <si>
    <t>R9</t>
    <phoneticPr fontId="89"/>
  </si>
  <si>
    <t>R10</t>
    <phoneticPr fontId="89"/>
  </si>
  <si>
    <t>R11</t>
    <phoneticPr fontId="89"/>
  </si>
  <si>
    <t>R12以降</t>
    <rPh sb="3" eb="5">
      <t>イコウ</t>
    </rPh>
    <phoneticPr fontId="89"/>
  </si>
  <si>
    <t>ネットワーク化に向けた話合い（協定内）</t>
    <rPh sb="6" eb="7">
      <t>カ</t>
    </rPh>
    <rPh sb="8" eb="9">
      <t>ム</t>
    </rPh>
    <rPh sb="11" eb="13">
      <t>ハナシア</t>
    </rPh>
    <rPh sb="15" eb="18">
      <t>キョウテイナイ</t>
    </rPh>
    <phoneticPr fontId="89"/>
  </si>
  <si>
    <t>ネットワーク化に向けた話合い（協定間）</t>
    <rPh sb="6" eb="7">
      <t>カ</t>
    </rPh>
    <rPh sb="8" eb="9">
      <t>ム</t>
    </rPh>
    <rPh sb="11" eb="13">
      <t>ハナシア</t>
    </rPh>
    <rPh sb="15" eb="17">
      <t>キョウテイ</t>
    </rPh>
    <rPh sb="17" eb="18">
      <t>アイダ</t>
    </rPh>
    <phoneticPr fontId="89"/>
  </si>
  <si>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9"/>
  </si>
  <si>
    <t>⑧</t>
  </si>
  <si>
    <t>①</t>
  </si>
  <si>
    <t>⑥</t>
  </si>
  <si>
    <t>⑤</t>
  </si>
  <si>
    <t>⑦</t>
  </si>
  <si>
    <t>協議会等の設置（協議会型の場合）</t>
    <rPh sb="0" eb="3">
      <t>キョウギカイ</t>
    </rPh>
    <rPh sb="3" eb="4">
      <t>トウ</t>
    </rPh>
    <rPh sb="5" eb="7">
      <t>セッチ</t>
    </rPh>
    <rPh sb="8" eb="12">
      <t>キョウギカイガタ</t>
    </rPh>
    <rPh sb="13" eb="15">
      <t>バアイ</t>
    </rPh>
    <phoneticPr fontId="89"/>
  </si>
  <si>
    <t>ネットワーク化加算の適用（加算措置を利用する場合）</t>
    <rPh sb="6" eb="7">
      <t>カ</t>
    </rPh>
    <rPh sb="7" eb="9">
      <t>カサン</t>
    </rPh>
    <rPh sb="10" eb="12">
      <t>テキヨウ</t>
    </rPh>
    <rPh sb="13" eb="17">
      <t>カサンソチ</t>
    </rPh>
    <rPh sb="18" eb="20">
      <t>リヨウ</t>
    </rPh>
    <rPh sb="22" eb="24">
      <t>バアイ</t>
    </rPh>
    <phoneticPr fontId="89"/>
  </si>
  <si>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9"/>
  </si>
  <si>
    <t>注）工程の概略における「ネットワーク化により連携して実施する活動の開始」には２－４の「ネットワーク化により連携して実施する活動」の番号を記載。</t>
    <phoneticPr fontId="89"/>
  </si>
  <si>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</si>
  <si>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9"/>
  </si>
  <si>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9"/>
  </si>
  <si>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9"/>
  </si>
  <si>
    <t>③時期は未定だが将来的に統合を検討する</t>
    <rPh sb="1" eb="3">
      <t>ジキ</t>
    </rPh>
    <rPh sb="4" eb="6">
      <t>ミテイ</t>
    </rPh>
    <rPh sb="8" eb="11">
      <t>ショウライテキ</t>
    </rPh>
    <rPh sb="12" eb="14">
      <t>トウゴウ</t>
    </rPh>
    <rPh sb="15" eb="17">
      <t>ケントウ</t>
    </rPh>
    <phoneticPr fontId="89"/>
  </si>
  <si>
    <t>④未定</t>
    <rPh sb="1" eb="3">
      <t>ミテイ</t>
    </rPh>
    <phoneticPr fontId="89"/>
  </si>
  <si>
    <t>⑤統合は必要ないと考えている</t>
    <rPh sb="1" eb="3">
      <t>トウゴウ</t>
    </rPh>
    <rPh sb="4" eb="6">
      <t>ヒツヨウ</t>
    </rPh>
    <rPh sb="9" eb="10">
      <t>カンガ</t>
    </rPh>
    <phoneticPr fontId="89"/>
  </si>
  <si>
    <t>⑥その他（</t>
    <rPh sb="3" eb="4">
      <t>タ</t>
    </rPh>
    <phoneticPr fontId="89"/>
  </si>
  <si>
    <t>　）</t>
    <phoneticPr fontId="3"/>
  </si>
  <si>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</si>
  <si>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</si>
  <si>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</si>
  <si>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</si>
  <si>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</si>
  <si>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</si>
  <si>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</si>
  <si>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</si>
  <si>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</si>
  <si>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9"/>
  </si>
  <si>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9"/>
  </si>
  <si>
    <t>農作業機械の老朽化及びオペレーターの不足</t>
    <phoneticPr fontId="3"/>
  </si>
  <si>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9"/>
  </si>
  <si>
    <t>３－４．統合により体制を強化したい活動</t>
    <rPh sb="4" eb="6">
      <t>トウゴウ</t>
    </rPh>
    <rPh sb="9" eb="11">
      <t>タイセイ</t>
    </rPh>
    <rPh sb="12" eb="14">
      <t>キョウカ</t>
    </rPh>
    <rPh sb="17" eb="19">
      <t>カツドウ</t>
    </rPh>
    <phoneticPr fontId="3"/>
  </si>
  <si>
    <t>体制を強化したい活動</t>
    <phoneticPr fontId="89"/>
  </si>
  <si>
    <t>①リーダー等の人材確保</t>
    <rPh sb="5" eb="6">
      <t>トウ</t>
    </rPh>
    <rPh sb="7" eb="9">
      <t>ジンザイ</t>
    </rPh>
    <rPh sb="9" eb="11">
      <t>カクホ</t>
    </rPh>
    <phoneticPr fontId="89"/>
  </si>
  <si>
    <t>⑦農業の担い手育成</t>
    <rPh sb="1" eb="3">
      <t>ノウギョウ</t>
    </rPh>
    <rPh sb="4" eb="5">
      <t>ニナ</t>
    </rPh>
    <rPh sb="6" eb="7">
      <t>テ</t>
    </rPh>
    <rPh sb="7" eb="9">
      <t>イクセイ</t>
    </rPh>
    <phoneticPr fontId="89"/>
  </si>
  <si>
    <t>②事務局機能の強化</t>
    <rPh sb="1" eb="4">
      <t>ジムキョク</t>
    </rPh>
    <rPh sb="4" eb="6">
      <t>キノウ</t>
    </rPh>
    <rPh sb="7" eb="9">
      <t>キョウカ</t>
    </rPh>
    <phoneticPr fontId="89"/>
  </si>
  <si>
    <t>⑧地場農産物の加工・販売</t>
    <rPh sb="1" eb="3">
      <t>ジバ</t>
    </rPh>
    <rPh sb="3" eb="6">
      <t>ノウサンブツ</t>
    </rPh>
    <rPh sb="7" eb="9">
      <t>カコウ</t>
    </rPh>
    <rPh sb="10" eb="12">
      <t>ハンバイ</t>
    </rPh>
    <phoneticPr fontId="89"/>
  </si>
  <si>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9"/>
  </si>
  <si>
    <t>⑨鳥獣害対策</t>
    <rPh sb="1" eb="6">
      <t>チョウジュウガイタイサク</t>
    </rPh>
    <phoneticPr fontId="89"/>
  </si>
  <si>
    <t>④水路・農道等の維持管理</t>
    <rPh sb="1" eb="3">
      <t>スイロ</t>
    </rPh>
    <rPh sb="4" eb="6">
      <t>ノウドウ</t>
    </rPh>
    <rPh sb="6" eb="7">
      <t>トウ</t>
    </rPh>
    <rPh sb="8" eb="10">
      <t>イジ</t>
    </rPh>
    <rPh sb="10" eb="12">
      <t>カンリ</t>
    </rPh>
    <phoneticPr fontId="89"/>
  </si>
  <si>
    <t>⑩多面的機能を増進する活動</t>
    <rPh sb="1" eb="6">
      <t>タメンテキキノウ</t>
    </rPh>
    <rPh sb="7" eb="9">
      <t>ゾウシン</t>
    </rPh>
    <rPh sb="11" eb="13">
      <t>カツドウ</t>
    </rPh>
    <phoneticPr fontId="89"/>
  </si>
  <si>
    <t>⑤機械・施設の共同利用</t>
    <rPh sb="1" eb="3">
      <t>キカイ</t>
    </rPh>
    <rPh sb="4" eb="6">
      <t>シセツ</t>
    </rPh>
    <rPh sb="7" eb="9">
      <t>キョウドウ</t>
    </rPh>
    <rPh sb="9" eb="11">
      <t>リヨウ</t>
    </rPh>
    <phoneticPr fontId="89"/>
  </si>
  <si>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9"/>
  </si>
  <si>
    <t>⑥農作業の共同化</t>
    <rPh sb="1" eb="4">
      <t>ノウサギョウ</t>
    </rPh>
    <rPh sb="5" eb="8">
      <t>キョウドウカ</t>
    </rPh>
    <phoneticPr fontId="89"/>
  </si>
  <si>
    <t>農作業機械のオペレーターの確保</t>
    <rPh sb="0" eb="3">
      <t>ノウサギョウ</t>
    </rPh>
    <rPh sb="3" eb="5">
      <t>キカイ</t>
    </rPh>
    <rPh sb="13" eb="15">
      <t>カクホ</t>
    </rPh>
    <phoneticPr fontId="3"/>
  </si>
  <si>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</si>
  <si>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9"/>
  </si>
  <si>
    <t>②統合に向けた話合い（協定間）</t>
    <rPh sb="1" eb="3">
      <t>トウゴウ</t>
    </rPh>
    <rPh sb="4" eb="5">
      <t>ム</t>
    </rPh>
    <rPh sb="7" eb="9">
      <t>ハナシア</t>
    </rPh>
    <rPh sb="11" eb="13">
      <t>キョウテイ</t>
    </rPh>
    <rPh sb="13" eb="14">
      <t>アイダ</t>
    </rPh>
    <phoneticPr fontId="89"/>
  </si>
  <si>
    <t>③統合</t>
    <rPh sb="1" eb="3">
      <t>トウゴウ</t>
    </rPh>
    <phoneticPr fontId="89"/>
  </si>
  <si>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9"/>
  </si>
  <si>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9"/>
  </si>
  <si>
    <t>３－６．役員の継承計画</t>
    <rPh sb="4" eb="6">
      <t>ヤクイン</t>
    </rPh>
    <rPh sb="7" eb="11">
      <t>ケイショウケイカク</t>
    </rPh>
    <phoneticPr fontId="3"/>
  </si>
  <si>
    <t>役職名等</t>
    <rPh sb="0" eb="3">
      <t>ヤクショクメイ</t>
    </rPh>
    <rPh sb="3" eb="4">
      <t>トウ</t>
    </rPh>
    <phoneticPr fontId="89"/>
  </si>
  <si>
    <t>氏名（現体制）</t>
    <rPh sb="0" eb="2">
      <t>シメイ</t>
    </rPh>
    <rPh sb="3" eb="6">
      <t>ゲンタイセイ</t>
    </rPh>
    <phoneticPr fontId="89"/>
  </si>
  <si>
    <t>氏名（後任予定者）</t>
    <rPh sb="0" eb="2">
      <t>シメイ</t>
    </rPh>
    <rPh sb="3" eb="8">
      <t>コウニンヨテイシャ</t>
    </rPh>
    <phoneticPr fontId="89"/>
  </si>
  <si>
    <t>継承予定時期</t>
    <rPh sb="0" eb="4">
      <t>ケイショウヨテイ</t>
    </rPh>
    <rPh sb="4" eb="6">
      <t>ジキ</t>
    </rPh>
    <phoneticPr fontId="89"/>
  </si>
  <si>
    <t>代表者</t>
    <rPh sb="0" eb="3">
      <t>ダイヒョウシャ</t>
    </rPh>
    <phoneticPr fontId="89"/>
  </si>
  <si>
    <t>書記担当</t>
    <rPh sb="0" eb="2">
      <t>ショキ</t>
    </rPh>
    <rPh sb="2" eb="4">
      <t>タントウ</t>
    </rPh>
    <phoneticPr fontId="89"/>
  </si>
  <si>
    <t>丁本　四郎</t>
    <phoneticPr fontId="3"/>
  </si>
  <si>
    <t>会計担当</t>
    <rPh sb="0" eb="2">
      <t>カイケイ</t>
    </rPh>
    <rPh sb="2" eb="4">
      <t>タントウ</t>
    </rPh>
    <phoneticPr fontId="89"/>
  </si>
  <si>
    <t>戊部　花子</t>
    <phoneticPr fontId="3"/>
  </si>
  <si>
    <t>共同機械担当</t>
    <rPh sb="0" eb="4">
      <t>キョウドウキカイ</t>
    </rPh>
    <rPh sb="4" eb="6">
      <t>タントウ</t>
    </rPh>
    <phoneticPr fontId="89"/>
  </si>
  <si>
    <t>己藤　五郎</t>
    <phoneticPr fontId="3"/>
  </si>
  <si>
    <t>土地改良施設担当</t>
    <rPh sb="0" eb="4">
      <t>トチカイリョウ</t>
    </rPh>
    <rPh sb="4" eb="8">
      <t>シセツタントウ</t>
    </rPh>
    <phoneticPr fontId="89"/>
  </si>
  <si>
    <t>法面点検担当</t>
    <rPh sb="0" eb="2">
      <t>ノリメン</t>
    </rPh>
    <rPh sb="2" eb="6">
      <t>テンケンタントウ</t>
    </rPh>
    <phoneticPr fontId="89"/>
  </si>
  <si>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9"/>
  </si>
  <si>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</si>
  <si>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9"/>
  </si>
  <si>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9"/>
  </si>
  <si>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</si>
  <si>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</si>
  <si>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</si>
  <si>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9"/>
  </si>
  <si>
    <t>（１）農業者団体以外の組織</t>
    <rPh sb="3" eb="6">
      <t>ノウギョウシャ</t>
    </rPh>
    <rPh sb="6" eb="8">
      <t>ダンタイ</t>
    </rPh>
    <rPh sb="8" eb="10">
      <t>イガイ</t>
    </rPh>
    <rPh sb="11" eb="13">
      <t>ソシキ</t>
    </rPh>
    <phoneticPr fontId="3"/>
  </si>
  <si>
    <t>参画方法</t>
    <rPh sb="0" eb="4">
      <t>サンカクホウホウ</t>
    </rPh>
    <phoneticPr fontId="89"/>
  </si>
  <si>
    <t>組織名</t>
    <rPh sb="0" eb="3">
      <t>ソシキメイ</t>
    </rPh>
    <phoneticPr fontId="89"/>
  </si>
  <si>
    <t>①集落協定の構成員</t>
    <rPh sb="1" eb="5">
      <t>シュウラクキョウテイ</t>
    </rPh>
    <rPh sb="6" eb="9">
      <t>コウセイイン</t>
    </rPh>
    <phoneticPr fontId="89"/>
  </si>
  <si>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</si>
  <si>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</si>
  <si>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</si>
  <si>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</si>
  <si>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89"/>
  </si>
  <si>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</si>
  <si>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</si>
  <si>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</si>
  <si>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9"/>
  </si>
  <si>
    <t>人数</t>
    <rPh sb="0" eb="2">
      <t>ニンズウ</t>
    </rPh>
    <phoneticPr fontId="89"/>
  </si>
  <si>
    <t>②別途協定等を締結</t>
    <rPh sb="1" eb="5">
      <t>ベットキョウテイ</t>
    </rPh>
    <rPh sb="5" eb="6">
      <t>トウ</t>
    </rPh>
    <rPh sb="7" eb="9">
      <t>テイケツ</t>
    </rPh>
    <phoneticPr fontId="89"/>
  </si>
  <si>
    <t>合計</t>
    <rPh sb="0" eb="2">
      <t>ゴウケイ</t>
    </rPh>
    <phoneticPr fontId="89"/>
  </si>
  <si>
    <t>③集落協定の全構成員数（集落協定の構成員数（農業者数＋①※組織数は含めない）に②を加えた人数）</t>
    <phoneticPr fontId="89"/>
  </si>
  <si>
    <t>①＋②が③に占める割合</t>
    <phoneticPr fontId="3"/>
  </si>
  <si>
    <t>％</t>
    <phoneticPr fontId="3"/>
  </si>
  <si>
    <t>（小数点以下切り捨て）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</si>
  <si>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</si>
  <si>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</si>
  <si>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9"/>
  </si>
  <si>
    <t>④知見や技術の不足</t>
    <rPh sb="1" eb="3">
      <t>チケン</t>
    </rPh>
    <rPh sb="4" eb="6">
      <t>ギジュツ</t>
    </rPh>
    <rPh sb="7" eb="9">
      <t>フソク</t>
    </rPh>
    <phoneticPr fontId="89"/>
  </si>
  <si>
    <t>②共同取組活動参加者の不足</t>
    <rPh sb="1" eb="3">
      <t>キョウドウ</t>
    </rPh>
    <rPh sb="3" eb="5">
      <t>トリクミ</t>
    </rPh>
    <rPh sb="5" eb="7">
      <t>カツドウ</t>
    </rPh>
    <rPh sb="7" eb="10">
      <t>サンカシャ</t>
    </rPh>
    <rPh sb="11" eb="13">
      <t>フソク</t>
    </rPh>
    <phoneticPr fontId="89"/>
  </si>
  <si>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9"/>
  </si>
  <si>
    <t>③農業作業の人材不足</t>
    <rPh sb="1" eb="3">
      <t>ノウギョウ</t>
    </rPh>
    <rPh sb="3" eb="5">
      <t>サギョウ</t>
    </rPh>
    <rPh sb="6" eb="8">
      <t>ジンザイ</t>
    </rPh>
    <rPh sb="8" eb="10">
      <t>ブソク</t>
    </rPh>
    <phoneticPr fontId="89"/>
  </si>
  <si>
    <t>棚田の荒廃</t>
    <rPh sb="0" eb="2">
      <t>タナダ</t>
    </rPh>
    <rPh sb="3" eb="5">
      <t>コウハイ</t>
    </rPh>
    <phoneticPr fontId="3"/>
  </si>
  <si>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9"/>
  </si>
  <si>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</si>
  <si>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9"/>
  </si>
  <si>
    <t>①事務の適切な実施</t>
    <phoneticPr fontId="89"/>
  </si>
  <si>
    <t>⑥鳥獣害対策</t>
    <rPh sb="1" eb="3">
      <t>チョウジュウ</t>
    </rPh>
    <rPh sb="3" eb="4">
      <t>ガイ</t>
    </rPh>
    <rPh sb="4" eb="6">
      <t>タイサク</t>
    </rPh>
    <phoneticPr fontId="89"/>
  </si>
  <si>
    <t>⑦多面的機能を増進する活動</t>
    <phoneticPr fontId="89"/>
  </si>
  <si>
    <t>④農作業</t>
    <rPh sb="1" eb="4">
      <t>ノウサギョウ</t>
    </rPh>
    <phoneticPr fontId="89"/>
  </si>
  <si>
    <t>棚田資源を活かした振興活動</t>
    <rPh sb="0" eb="4">
      <t>タナダシゲン</t>
    </rPh>
    <rPh sb="5" eb="6">
      <t>イ</t>
    </rPh>
    <rPh sb="9" eb="13">
      <t>シンコウカツドウ</t>
    </rPh>
    <phoneticPr fontId="3"/>
  </si>
  <si>
    <t>⑤地場農産物の加工・販売</t>
    <rPh sb="1" eb="3">
      <t>ジバ</t>
    </rPh>
    <rPh sb="3" eb="6">
      <t>ノウサンブツ</t>
    </rPh>
    <rPh sb="7" eb="9">
      <t>カコウ</t>
    </rPh>
    <rPh sb="10" eb="12">
      <t>ハンバイ</t>
    </rPh>
    <phoneticPr fontId="89"/>
  </si>
  <si>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9"/>
  </si>
  <si>
    <t>（参考様式第12号）</t>
    <rPh sb="1" eb="3">
      <t>サンコウ</t>
    </rPh>
    <rPh sb="3" eb="5">
      <t>ヨウシキ</t>
    </rPh>
    <rPh sb="5" eb="6">
      <t>ダイ</t>
    </rPh>
    <rPh sb="8" eb="9">
      <t>ゴウ</t>
    </rPh>
    <phoneticPr fontId="3"/>
  </si>
  <si>
    <t>（集落協定名：</t>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</si>
  <si>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</si>
  <si>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</si>
  <si>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</si>
  <si>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</si>
  <si>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</si>
  <si>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</si>
  <si>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</si>
  <si>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</si>
  <si>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</si>
  <si>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</si>
  <si>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</si>
  <si>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</si>
  <si>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</si>
  <si>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</si>
  <si>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その他</t>
    <phoneticPr fontId="3"/>
  </si>
  <si>
    <t>耐用年数</t>
    <phoneticPr fontId="3"/>
  </si>
  <si>
    <t>処分制限年月日</t>
    <phoneticPr fontId="3"/>
  </si>
  <si>
    <t xml:space="preserve">承認年月日
</t>
    <phoneticPr fontId="3"/>
  </si>
  <si>
    <t>処分の内容</t>
    <phoneticPr fontId="3"/>
  </si>
  <si>
    <t>（参考様式第13号）</t>
    <rPh sb="1" eb="3">
      <t>サンコウ</t>
    </rPh>
    <rPh sb="3" eb="5">
      <t>ヨウシキ</t>
    </rPh>
    <rPh sb="5" eb="6">
      <t>ダイ</t>
    </rPh>
    <rPh sb="8" eb="9">
      <t>ゴウ</t>
    </rPh>
    <phoneticPr fontId="3"/>
  </si>
  <si>
    <t>第１条</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</si>
  <si>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</si>
  <si>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t>第２条</t>
    <phoneticPr fontId="3"/>
  </si>
  <si>
    <t xml:space="preserve"> 機械等の管理責任者は組合長とする。ただし、組合長が代行者を置くことができる。</t>
    <phoneticPr fontId="3"/>
  </si>
  <si>
    <t>第３条</t>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</si>
  <si>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</si>
  <si>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</si>
  <si>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</si>
  <si>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</si>
  <si>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</si>
  <si>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</si>
  <si>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</si>
  <si>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</si>
  <si>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</si>
  <si>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</si>
  <si>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</si>
  <si>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</si>
  <si>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</si>
  <si>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</si>
  <si>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（参考様式第14号）</t>
    <rPh sb="1" eb="3">
      <t>サンコウ</t>
    </rPh>
    <rPh sb="3" eb="5">
      <t>ヨウシキ</t>
    </rPh>
    <rPh sb="5" eb="6">
      <t>ダイ</t>
    </rPh>
    <rPh sb="8" eb="9">
      <t>ゴウ</t>
    </rPh>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</si>
  <si>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</si>
  <si>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</si>
  <si>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</si>
  <si>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</si>
  <si>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</si>
  <si>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</si>
  <si>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</si>
  <si>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</si>
  <si>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</si>
  <si>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</si>
  <si>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</si>
  <si>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</si>
  <si>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</si>
  <si>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</si>
  <si>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</si>
  <si>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</si>
  <si>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</si>
  <si>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</si>
  <si>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</si>
  <si>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</si>
  <si>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</si>
  <si>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市町村長　　殿</t>
    <rPh sb="0" eb="4">
      <t>シチョウソンチョウ</t>
    </rPh>
    <phoneticPr fontId="3"/>
  </si>
  <si>
    <t>（別紙）</t>
    <rPh sb="1" eb="3">
      <t>ベッシ</t>
    </rPh>
    <phoneticPr fontId="3"/>
  </si>
  <si>
    <t>令和○年○月○日</t>
    <rPh sb="0" eb="2">
      <t>レイワ</t>
    </rPh>
    <rPh sb="3" eb="4">
      <t>ネン</t>
    </rPh>
    <rPh sb="5" eb="6">
      <t>ガツ</t>
    </rPh>
    <rPh sb="7" eb="8">
      <t>ニチ</t>
    </rPh>
    <phoneticPr fontId="3"/>
  </si>
  <si>
    <t>役員報酬</t>
    <rPh sb="0" eb="2">
      <t>ヤクイン</t>
    </rPh>
    <rPh sb="2" eb="4">
      <t>ホウシュウ</t>
    </rPh>
    <phoneticPr fontId="3"/>
  </si>
  <si>
    <t>中山間地域等直接支払交付金の支出に係る届出について</t>
    <phoneticPr fontId="3"/>
  </si>
  <si>
    <t>記</t>
    <rPh sb="0" eb="1">
      <t>キ</t>
    </rPh>
    <phoneticPr fontId="3"/>
  </si>
  <si>
    <t>支出相手方名　※</t>
    <phoneticPr fontId="3"/>
  </si>
  <si>
    <t>支出額</t>
    <phoneticPr fontId="3"/>
  </si>
  <si>
    <t>支払日・契約日</t>
    <phoneticPr fontId="3"/>
  </si>
  <si>
    <t>支出の内容</t>
    <phoneticPr fontId="3"/>
  </si>
  <si>
    <t>支出の目的</t>
    <phoneticPr fontId="3"/>
  </si>
  <si>
    <t>※　支出を行う相手方の組織名・肩書等を併せて記載。</t>
  </si>
  <si>
    <t>（例：○○営農組合代表　△△　△△(集落協定代表者名)）</t>
    <phoneticPr fontId="3"/>
  </si>
  <si>
    <t>[001]協定識別コード</t>
  </si>
  <si>
    <t>[002]都道府県名</t>
  </si>
  <si>
    <t>[003]市町村名</t>
    <phoneticPr fontId="3"/>
  </si>
  <si>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</si>
  <si>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</si>
  <si>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</si>
  <si>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</si>
  <si>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</si>
  <si>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</si>
  <si>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</si>
  <si>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</si>
  <si>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</si>
  <si>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</si>
  <si>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</si>
  <si>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</si>
  <si>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</si>
  <si>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</si>
  <si>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</si>
  <si>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</si>
  <si>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</si>
  <si>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</si>
  <si>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</si>
  <si>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</si>
  <si>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</si>
  <si>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</si>
  <si>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</si>
  <si>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</si>
  <si>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</si>
  <si>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</si>
  <si>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</si>
  <si>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</si>
  <si>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</si>
  <si>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</si>
  <si>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</si>
  <si>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</si>
  <si>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</si>
  <si>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</si>
  <si>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</si>
  <si>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</si>
  <si>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</si>
  <si>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</si>
  <si>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</si>
  <si>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</si>
  <si>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</si>
  <si>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</si>
  <si>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</si>
  <si>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</si>
  <si>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</si>
  <si>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</si>
  <si>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</si>
  <si>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</si>
  <si>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</si>
  <si>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</si>
  <si>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</si>
  <si>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</si>
  <si>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</si>
  <si>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</si>
  <si>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</si>
  <si>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</si>
  <si>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</si>
  <si>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</si>
  <si>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</si>
  <si>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</si>
  <si>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</si>
  <si>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</si>
  <si>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</si>
  <si>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</si>
  <si>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</si>
  <si>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</si>
  <si>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</si>
  <si>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</si>
  <si>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</si>
  <si>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</si>
  <si>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</si>
  <si>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</si>
  <si>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</si>
  <si>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</si>
  <si>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</si>
  <si>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</si>
  <si>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</si>
  <si>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</si>
  <si>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</si>
  <si>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</si>
  <si>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</si>
  <si>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</si>
  <si>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</si>
  <si>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</si>
  <si>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</si>
  <si>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</si>
  <si>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</si>
  <si>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</si>
  <si>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</si>
  <si>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</si>
  <si>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</si>
  <si>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</si>
  <si>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</si>
  <si>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</si>
  <si>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</si>
  <si>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</si>
  <si>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</si>
  <si>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</si>
  <si>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</si>
  <si>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</si>
  <si>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</si>
  <si>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</si>
  <si>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</si>
  <si>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</si>
  <si>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</si>
  <si>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</si>
  <si>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</si>
  <si>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</si>
  <si>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</si>
  <si>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</si>
  <si>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</si>
  <si>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</si>
  <si>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</si>
  <si>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</si>
  <si>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</si>
  <si>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</si>
  <si>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</si>
  <si>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</si>
  <si>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</si>
  <si>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</si>
  <si>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</si>
  <si>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[128]協定農用地の一部除外_耕作未実施_転用</t>
    <rPh sb="22" eb="24">
      <t>テンヨウ</t>
    </rPh>
    <phoneticPr fontId="3"/>
  </si>
  <si>
    <t>[131]協定農用地の一部除外_耕作未実施_その他</t>
    <phoneticPr fontId="3"/>
  </si>
  <si>
    <t>[132]協定農用地の一部除外_耕作未実施_その他の内容</t>
    <phoneticPr fontId="3"/>
  </si>
  <si>
    <t>[133]協定農用地の一部除外_復旧未実施</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</si>
  <si>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</si>
  <si>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</si>
  <si>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</si>
  <si>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</si>
  <si>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</si>
  <si>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</si>
  <si>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</si>
  <si>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</si>
  <si>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</si>
  <si>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</si>
  <si>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</si>
  <si>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</si>
  <si>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</si>
  <si>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</si>
  <si>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</si>
  <si>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</si>
  <si>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</si>
  <si>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</si>
  <si>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</si>
  <si>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</si>
  <si>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</si>
  <si>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</si>
  <si>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</si>
  <si>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</si>
  <si>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</si>
  <si>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</si>
  <si>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</si>
  <si>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</si>
  <si>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</si>
  <si>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</si>
  <si>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</si>
  <si>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</si>
  <si>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</si>
  <si>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</si>
  <si>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</si>
  <si>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</si>
  <si>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</si>
  <si>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</si>
  <si>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</si>
  <si>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</si>
  <si>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</si>
  <si>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</si>
  <si>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</si>
  <si>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</si>
  <si>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</si>
  <si>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</si>
  <si>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</si>
  <si>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</si>
  <si>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</si>
  <si>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</si>
  <si>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</si>
  <si>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</si>
  <si>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</si>
  <si>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</si>
  <si>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</si>
  <si>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</si>
  <si>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</si>
  <si>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</si>
  <si>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</si>
  <si>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</si>
  <si>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</si>
  <si>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</si>
  <si>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</si>
  <si>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</si>
  <si>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</si>
  <si>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</si>
  <si>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</si>
  <si>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</si>
  <si>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</si>
  <si>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</si>
  <si>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</si>
  <si>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</si>
  <si>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</si>
  <si>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</si>
  <si>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</si>
  <si>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</si>
  <si>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</si>
  <si>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</si>
  <si>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</si>
  <si>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</si>
  <si>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</si>
  <si>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</si>
  <si>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</si>
  <si>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</si>
  <si>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</si>
  <si>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</si>
  <si>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</si>
  <si>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</si>
  <si>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</si>
  <si>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</si>
  <si>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</si>
  <si>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</si>
  <si>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</si>
  <si>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</si>
  <si>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</si>
  <si>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</si>
  <si>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</si>
  <si>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</si>
  <si>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</si>
  <si>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</si>
  <si>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</si>
  <si>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</si>
  <si>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</si>
  <si>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</si>
  <si>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</si>
  <si>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</si>
  <si>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</si>
  <si>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</si>
  <si>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</si>
  <si>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</si>
  <si>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</si>
  <si>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</si>
  <si>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</si>
  <si>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</si>
  <si>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</si>
  <si>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</si>
  <si>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</si>
  <si>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</si>
  <si>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</si>
  <si>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</si>
  <si>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</si>
  <si>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</si>
  <si>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</si>
  <si>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</si>
  <si>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</si>
  <si>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</si>
  <si>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</si>
  <si>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</si>
  <si>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</si>
  <si>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</si>
  <si>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</si>
  <si>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</si>
  <si>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</si>
  <si>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</si>
  <si>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</si>
  <si>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</si>
  <si>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</si>
  <si>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</si>
  <si>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</si>
  <si>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</si>
  <si>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</si>
  <si>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</si>
  <si>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</si>
  <si>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</si>
  <si>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</si>
  <si>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</si>
  <si>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</si>
  <si>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</si>
  <si>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</si>
  <si>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</si>
  <si>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</si>
  <si>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</si>
  <si>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</si>
  <si>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</si>
  <si>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</si>
  <si>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</si>
  <si>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</si>
  <si>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</si>
  <si>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</si>
  <si>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</si>
  <si>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</si>
  <si>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</si>
  <si>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</si>
  <si>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</si>
  <si>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</si>
  <si>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</si>
  <si>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</si>
  <si>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</si>
  <si>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</si>
  <si>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</si>
  <si>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</si>
  <si>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</si>
  <si>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</si>
  <si>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</si>
  <si>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</si>
  <si>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</si>
  <si>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</si>
  <si>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</si>
  <si>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</si>
  <si>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</si>
  <si>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</si>
  <si>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</si>
  <si>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</si>
  <si>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</si>
  <si>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</si>
  <si>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</si>
  <si>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</si>
  <si>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</si>
  <si>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</si>
  <si>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</si>
  <si>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</si>
  <si>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</si>
  <si>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</si>
  <si>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</si>
  <si>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</si>
  <si>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</si>
  <si>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</si>
  <si>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</si>
  <si>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</si>
  <si>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</si>
  <si>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</si>
  <si>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</si>
  <si>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</si>
  <si>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</si>
  <si>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</si>
  <si>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</si>
  <si>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</si>
  <si>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</si>
  <si>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</si>
  <si>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</si>
  <si>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</si>
  <si>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</si>
  <si>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</si>
  <si>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</si>
  <si>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</si>
  <si>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</si>
  <si>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</si>
  <si>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③協定締結面積</t>
    <rPh sb="1" eb="3">
      <t>キョウテイ</t>
    </rPh>
    <rPh sb="3" eb="5">
      <t>テイケツ</t>
    </rPh>
    <rPh sb="5" eb="7">
      <t>メンセキ</t>
    </rPh>
    <phoneticPr fontId="3"/>
  </si>
  <si>
    <t>④加算措置（加算面積、加算金額）</t>
    <rPh sb="1" eb="3">
      <t>カサン</t>
    </rPh>
    <rPh sb="3" eb="5">
      <t>ソチ</t>
    </rPh>
    <rPh sb="6" eb="8">
      <t>カサン</t>
    </rPh>
    <rPh sb="8" eb="10">
      <t>メンセキ</t>
    </rPh>
    <rPh sb="11" eb="14">
      <t>カサンキン</t>
    </rPh>
    <rPh sb="14" eb="15">
      <t>ガク</t>
    </rPh>
    <phoneticPr fontId="3"/>
  </si>
  <si>
    <t>⑤交付金額</t>
    <rPh sb="1" eb="3">
      <t>コウフ</t>
    </rPh>
    <rPh sb="3" eb="5">
      <t>キンガク</t>
    </rPh>
    <phoneticPr fontId="3"/>
  </si>
  <si>
    <t>⑥活動内容（全協定共通）</t>
    <rPh sb="1" eb="3">
      <t>カツドウ</t>
    </rPh>
    <rPh sb="3" eb="5">
      <t>ナイヨウ</t>
    </rPh>
    <rPh sb="6" eb="7">
      <t>ゼン</t>
    </rPh>
    <rPh sb="7" eb="9">
      <t>キョウテイ</t>
    </rPh>
    <rPh sb="9" eb="11">
      <t>キョウツウ</t>
    </rPh>
    <phoneticPr fontId="3"/>
  </si>
  <si>
    <t>⑦活動内容（体制整備単価）</t>
    <rPh sb="1" eb="3">
      <t>カツドウ</t>
    </rPh>
    <rPh sb="3" eb="5">
      <t>ナイヨウ</t>
    </rPh>
    <rPh sb="6" eb="8">
      <t>タイセイ</t>
    </rPh>
    <rPh sb="8" eb="10">
      <t>セイビ</t>
    </rPh>
    <rPh sb="10" eb="12">
      <t>タンカ</t>
    </rPh>
    <phoneticPr fontId="3"/>
  </si>
  <si>
    <t>備考欄</t>
    <rPh sb="0" eb="3">
      <t>ビコウラン</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</si>
  <si>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</si>
  <si>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</si>
  <si>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</si>
  <si>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個別協定名</t>
    <rPh sb="0" eb="2">
      <t>コベツ</t>
    </rPh>
    <rPh sb="2" eb="4">
      <t>キョウテイ</t>
    </rPh>
    <rPh sb="4" eb="5">
      <t>メイ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</si>
  <si>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</si>
  <si>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</si>
  <si>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</si>
  <si>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</si>
  <si>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</si>
  <si>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</si>
  <si>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</si>
  <si>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</si>
  <si>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</si>
  <si>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</si>
  <si>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</si>
  <si>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</si>
  <si>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</si>
  <si>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</si>
  <si>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Ⅲ　ネットワーク化加算</t>
    <rPh sb="8" eb="9">
      <t>カ</t>
    </rPh>
    <rPh sb="9" eb="11">
      <t>カサン</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</si>
  <si>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</si>
  <si>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</si>
  <si>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</si>
  <si>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</si>
  <si>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個人配分額（円）</t>
    <rPh sb="0" eb="2">
      <t>コジン</t>
    </rPh>
    <rPh sb="2" eb="4">
      <t>ハイブン</t>
    </rPh>
    <rPh sb="4" eb="5">
      <t>ガク</t>
    </rPh>
    <rPh sb="6" eb="7">
      <t>エン</t>
    </rPh>
    <phoneticPr fontId="3"/>
  </si>
  <si>
    <t>交付金の使途</t>
    <rPh sb="0" eb="3">
      <t>コウフキン</t>
    </rPh>
    <rPh sb="4" eb="6">
      <t>シト</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</si>
  <si>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</si>
  <si>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</si>
  <si>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</si>
  <si>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</si>
  <si>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</si>
  <si>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</si>
  <si>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</si>
  <si>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</si>
  <si>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</si>
  <si>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</si>
  <si>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</si>
  <si>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</si>
  <si>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</si>
  <si>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</si>
  <si>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</si>
  <si>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</si>
  <si>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</si>
  <si>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</si>
  <si>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</si>
  <si>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</si>
  <si>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</si>
  <si>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</si>
  <si>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</si>
  <si>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</si>
  <si>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</si>
  <si>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</si>
  <si>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</si>
  <si>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（超急傾斜地棚田加算）（田1/10以上、畑20度以上）</t>
    <rPh sb="12" eb="13">
      <t>タ</t>
    </rPh>
    <rPh sb="17" eb="19">
      <t>イジョウ</t>
    </rPh>
    <rPh sb="20" eb="21">
      <t>ハタケ</t>
    </rPh>
    <rPh sb="23" eb="26">
      <t>ドイジョウ</t>
    </rPh>
    <phoneticPr fontId="3"/>
  </si>
  <si>
    <t>うち国費</t>
    <rPh sb="2" eb="4">
      <t>コクヒ</t>
    </rPh>
    <phoneticPr fontId="3"/>
  </si>
  <si>
    <t>共同取組活動充当額（円）</t>
    <rPh sb="0" eb="2">
      <t>キョウドウ</t>
    </rPh>
    <rPh sb="2" eb="4">
      <t>トリクミ</t>
    </rPh>
    <rPh sb="4" eb="6">
      <t>カツドウ</t>
    </rPh>
    <rPh sb="6" eb="8">
      <t>ジュウトウ</t>
    </rPh>
    <rPh sb="8" eb="9">
      <t>ガク</t>
    </rPh>
    <rPh sb="10" eb="11">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</si>
  <si>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</si>
  <si>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</si>
  <si>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</si>
  <si>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</si>
  <si>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</si>
  <si>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</si>
  <si>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</si>
  <si>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</si>
  <si>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</si>
  <si>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</si>
  <si>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</si>
  <si>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</si>
  <si>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</si>
  <si>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</si>
  <si>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</si>
  <si>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</si>
  <si>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</si>
  <si>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</si>
  <si>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</si>
  <si>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</si>
  <si>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</si>
  <si>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</si>
  <si>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</si>
  <si>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</si>
  <si>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</si>
  <si>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3.統合の計画</t>
    <rPh sb="2" eb="4">
      <t>トウゴウ</t>
    </rPh>
    <rPh sb="5" eb="7">
      <t>ケイカク</t>
    </rPh>
    <phoneticPr fontId="3"/>
  </si>
  <si>
    <t>4.多様な組織の参画</t>
    <rPh sb="2" eb="4">
      <t>タヨウ</t>
    </rPh>
    <rPh sb="5" eb="7">
      <t>ソシキ</t>
    </rPh>
    <rPh sb="8" eb="10">
      <t>サンカク</t>
    </rPh>
    <phoneticPr fontId="3"/>
  </si>
  <si>
    <t>うち
中核的リーダー（人）</t>
    <rPh sb="3" eb="6">
      <t>チュウカクテキ</t>
    </rPh>
    <rPh sb="11" eb="12">
      <t>ニン</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</si>
  <si>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</si>
  <si>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</si>
  <si>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</si>
  <si>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</si>
  <si>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</si>
  <si>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</si>
  <si>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</si>
  <si>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</si>
  <si>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</si>
  <si>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</si>
  <si>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</si>
  <si>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</si>
  <si>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</si>
  <si>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</si>
  <si>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</si>
  <si>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</si>
  <si>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</si>
  <si>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</si>
  <si>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</si>
  <si>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</si>
  <si>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</si>
  <si>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</si>
  <si>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</si>
  <si>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ネットワーク化・統合等により実現する農業生産活動等の継続のための取組</t>
    <rPh sb="8" eb="11">
      <t>トウゴウトウ</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</si>
  <si>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</si>
  <si>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新たな人材の確保に関する取組又は集落機能を強化する取組</t>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</si>
  <si>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</si>
  <si>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</si>
  <si>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</si>
  <si>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</si>
  <si>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</si>
  <si>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</si>
  <si>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</si>
  <si>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</si>
  <si>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周辺林地の下草刈</t>
    <rPh sb="2" eb="4">
      <t>シュウヘン</t>
    </rPh>
    <rPh sb="4" eb="6">
      <t>リンチ</t>
    </rPh>
    <rPh sb="7" eb="8">
      <t>シタ</t>
    </rPh>
    <rPh sb="8" eb="10">
      <t>クサカリ</t>
    </rPh>
    <phoneticPr fontId="3"/>
  </si>
  <si>
    <t>②　棚田オーナー制度、市民農園等の開設・運営</t>
    <phoneticPr fontId="3"/>
  </si>
  <si>
    <t>③ 　景観作物の作付け</t>
    <rPh sb="3" eb="5">
      <t>ケイカン</t>
    </rPh>
    <rPh sb="5" eb="7">
      <t>サクモツ</t>
    </rPh>
    <rPh sb="8" eb="10">
      <t>サクツ</t>
    </rPh>
    <phoneticPr fontId="3"/>
  </si>
  <si>
    <t>④土壌流亡に配慮した営農</t>
    <phoneticPr fontId="3"/>
  </si>
  <si>
    <t>⑤　体験民宿（グリーン・ツーリズム）</t>
    <rPh sb="2" eb="4">
      <t>タイケン</t>
    </rPh>
    <rPh sb="4" eb="5">
      <t>ミン</t>
    </rPh>
    <rPh sb="5" eb="6">
      <t>ヤド</t>
    </rPh>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</si>
  <si>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</si>
  <si>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</si>
  <si>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</si>
  <si>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</si>
  <si>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</si>
  <si>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</si>
  <si>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</si>
  <si>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</si>
  <si>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</si>
  <si>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</si>
  <si>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</si>
  <si>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</si>
  <si>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</si>
  <si>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</si>
  <si>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</si>
  <si>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</si>
  <si>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</si>
  <si>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</si>
  <si>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</si>
  <si>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</si>
  <si>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</si>
  <si>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</si>
  <si>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</si>
  <si>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ネットワークの名称（予定）</t>
    <rPh sb="7" eb="9">
      <t>メイショウ</t>
    </rPh>
    <rPh sb="10" eb="12">
      <t>ヨテイ</t>
    </rPh>
    <phoneticPr fontId="3"/>
  </si>
  <si>
    <t>ネットワーク化に参加する集落協定</t>
    <phoneticPr fontId="3"/>
  </si>
  <si>
    <t>ネットワーク化で解決しようとする課題</t>
    <rPh sb="6" eb="7">
      <t>カ</t>
    </rPh>
    <rPh sb="8" eb="10">
      <t>カイケツ</t>
    </rPh>
    <rPh sb="16" eb="18">
      <t>カダイ</t>
    </rPh>
    <phoneticPr fontId="3"/>
  </si>
  <si>
    <t>ネットワーク化により連携して実施する活動</t>
    <rPh sb="6" eb="7">
      <t>カ</t>
    </rPh>
    <rPh sb="10" eb="12">
      <t>レンケイ</t>
    </rPh>
    <rPh sb="14" eb="16">
      <t>ジッシ</t>
    </rPh>
    <rPh sb="18" eb="20">
      <t>カツドウ</t>
    </rPh>
    <phoneticPr fontId="3"/>
  </si>
  <si>
    <t>連携方法</t>
    <rPh sb="0" eb="4">
      <t>レンケイホウホウ</t>
    </rPh>
    <phoneticPr fontId="3"/>
  </si>
  <si>
    <t>工程</t>
    <rPh sb="0" eb="2">
      <t>コウテイ</t>
    </rPh>
    <phoneticPr fontId="3"/>
  </si>
  <si>
    <t>ネットワーク化後の統合予定</t>
    <rPh sb="6" eb="8">
      <t>カゴ</t>
    </rPh>
    <rPh sb="9" eb="13">
      <t>トウゴウヨテイ</t>
    </rPh>
    <phoneticPr fontId="3"/>
  </si>
  <si>
    <t>統合後の集落協定の名称（予定）</t>
    <rPh sb="0" eb="3">
      <t>トウゴウゴ</t>
    </rPh>
    <rPh sb="4" eb="8">
      <t>シュウラクキョウテイ</t>
    </rPh>
    <phoneticPr fontId="3"/>
  </si>
  <si>
    <t>統合に参加する集落協定</t>
    <rPh sb="0" eb="2">
      <t>トウゴウ</t>
    </rPh>
    <phoneticPr fontId="3"/>
  </si>
  <si>
    <t>統合で解決しようとする課題</t>
    <rPh sb="0" eb="2">
      <t>トウゴウ</t>
    </rPh>
    <rPh sb="3" eb="5">
      <t>カイケツ</t>
    </rPh>
    <rPh sb="11" eb="13">
      <t>カダイ</t>
    </rPh>
    <phoneticPr fontId="3"/>
  </si>
  <si>
    <t>統合により体制を強化したい活動</t>
    <rPh sb="0" eb="2">
      <t>トウゴウ</t>
    </rPh>
    <rPh sb="5" eb="7">
      <t>タイセイ</t>
    </rPh>
    <rPh sb="8" eb="10">
      <t>キョウカ</t>
    </rPh>
    <rPh sb="13" eb="15">
      <t>カツドウ</t>
    </rPh>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</si>
  <si>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</si>
  <si>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</si>
  <si>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</si>
  <si>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</si>
  <si>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</si>
  <si>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</si>
  <si>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</si>
  <si>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</si>
  <si>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</si>
  <si>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</si>
  <si>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</si>
  <si>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</si>
  <si>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</si>
  <si>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</si>
  <si>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</si>
  <si>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</si>
  <si>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</si>
  <si>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</si>
  <si>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</si>
  <si>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</si>
  <si>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</si>
  <si>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</si>
  <si>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</si>
  <si>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</si>
  <si>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</si>
  <si>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</si>
  <si>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</si>
  <si>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</si>
  <si>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</si>
  <si>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</si>
  <si>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</si>
  <si>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</si>
  <si>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</si>
  <si>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</si>
  <si>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</si>
  <si>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</si>
  <si>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荒廃農地等の復旧が行われなかった</t>
    <rPh sb="0" eb="2">
      <t>コウハイ</t>
    </rPh>
    <rPh sb="2" eb="4">
      <t>ノウチ</t>
    </rPh>
    <rPh sb="4" eb="5">
      <t>トウ</t>
    </rPh>
    <rPh sb="6" eb="8">
      <t>フッキュウ</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</si>
  <si>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</si>
  <si>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</si>
  <si>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</si>
  <si>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</si>
  <si>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</si>
  <si>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</si>
  <si>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地目別面積</t>
    <rPh sb="0" eb="2">
      <t>チモク</t>
    </rPh>
    <rPh sb="2" eb="3">
      <t>ベツ</t>
    </rPh>
    <rPh sb="3" eb="5">
      <t>メンセキ</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</si>
  <si>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</si>
  <si>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</si>
  <si>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</si>
  <si>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</si>
  <si>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</si>
  <si>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</si>
  <si>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</si>
  <si>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</si>
  <si>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</si>
  <si>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</si>
  <si>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</si>
  <si>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</si>
  <si>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</si>
  <si>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</si>
  <si>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</si>
  <si>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</si>
  <si>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</si>
  <si>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</si>
  <si>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</si>
  <si>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</si>
  <si>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</si>
  <si>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</si>
  <si>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</si>
  <si>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</si>
  <si>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</si>
  <si>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</si>
  <si>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</si>
  <si>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</si>
  <si>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</si>
  <si>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</si>
  <si>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</si>
  <si>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</si>
  <si>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</si>
  <si>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</si>
  <si>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</si>
  <si>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</si>
  <si>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</si>
  <si>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その他の内容</t>
    <rPh sb="2" eb="3">
      <t>タ</t>
    </rPh>
    <rPh sb="4" eb="6">
      <t>ナイヨウ</t>
    </rPh>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</si>
  <si>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</si>
  <si>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</si>
  <si>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</si>
  <si>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</si>
  <si>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</si>
  <si>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</si>
  <si>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</si>
  <si>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</si>
  <si>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</si>
  <si>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</si>
  <si>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</si>
  <si>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</si>
  <si>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</si>
  <si>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</si>
  <si>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</si>
  <si>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</si>
  <si>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</si>
  <si>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</si>
  <si>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</si>
  <si>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</si>
  <si>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</si>
  <si>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</si>
  <si>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</si>
  <si>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</si>
  <si>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</si>
  <si>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</si>
  <si>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</si>
  <si>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</si>
  <si>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</si>
  <si>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統合する協定数（自協定含む）</t>
    <rPh sb="0" eb="2">
      <t>トウゴウ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</si>
  <si>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</si>
  <si>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</si>
  <si>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</si>
  <si>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</si>
  <si>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</si>
  <si>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</si>
  <si>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</si>
  <si>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</si>
  <si>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</si>
  <si>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</si>
  <si>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</si>
  <si>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</si>
  <si>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参画組織数計</t>
    <rPh sb="0" eb="2">
      <t>サンカク</t>
    </rPh>
    <rPh sb="2" eb="5">
      <t>ソシキスウ</t>
    </rPh>
    <rPh sb="5" eb="6">
      <t>ケイ</t>
    </rPh>
    <phoneticPr fontId="3"/>
  </si>
  <si>
    <t>集落協定の構成員の組織</t>
    <phoneticPr fontId="3"/>
  </si>
  <si>
    <t>別途協定等を締結</t>
    <phoneticPr fontId="3"/>
  </si>
  <si>
    <t>非農業者数</t>
    <rPh sb="0" eb="4">
      <t>ヒノウギョウシャ</t>
    </rPh>
    <rPh sb="4" eb="5">
      <t>カズ</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</si>
  <si>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</si>
  <si>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</si>
  <si>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</si>
  <si>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</si>
  <si>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</si>
  <si>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</si>
  <si>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</si>
  <si>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</si>
  <si>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</si>
  <si>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</si>
  <si>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</si>
  <si>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</si>
  <si>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</si>
  <si>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</si>
  <si>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</si>
  <si>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</si>
  <si>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</si>
  <si>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</si>
  <si>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耕作放棄によるもの</t>
    <rPh sb="0" eb="2">
      <t>コウサク</t>
    </rPh>
    <rPh sb="2" eb="4">
      <t>ホウキ</t>
    </rPh>
    <phoneticPr fontId="3"/>
  </si>
  <si>
    <t>転用によるもの</t>
    <rPh sb="0" eb="2">
      <t>テンヨウ</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</si>
  <si>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</si>
  <si>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</si>
  <si>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</si>
  <si>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</si>
  <si>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</si>
  <si>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</si>
  <si>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</si>
  <si>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集落協定の構成員の組織数</t>
    <rPh sb="0" eb="4">
      <t>シュウラクキョウテイ</t>
    </rPh>
    <rPh sb="5" eb="8">
      <t>コウセイイン</t>
    </rPh>
    <rPh sb="9" eb="12">
      <t>ソシキスウ</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</si>
  <si>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</si>
  <si>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</si>
  <si>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</si>
  <si>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</si>
  <si>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</si>
  <si>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</si>
  <si>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</si>
  <si>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</si>
  <si>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別途協定等を締結する組織数</t>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</si>
  <si>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</si>
  <si>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</si>
  <si>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</si>
  <si>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</si>
  <si>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</si>
  <si>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</si>
  <si>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自動入力</t>
    <rPh sb="0" eb="4">
      <t>ジドウニュウリョク</t>
    </rPh>
    <phoneticPr fontId="3"/>
  </si>
  <si>
    <t>広島県</t>
    <rPh sb="0" eb="3">
      <t>ヒロシマケン</t>
    </rPh>
    <phoneticPr fontId="3"/>
  </si>
  <si>
    <t>三原市</t>
    <rPh sb="0" eb="3">
      <t>ミハラシ</t>
    </rPh>
    <phoneticPr fontId="3"/>
  </si>
  <si>
    <t>〇〇集落協定</t>
    <rPh sb="2" eb="4">
      <t>シュウラク</t>
    </rPh>
    <rPh sb="4" eb="6">
      <t>キョウテイ</t>
    </rPh>
    <phoneticPr fontId="3"/>
  </si>
  <si>
    <t>〇〇　〇〇</t>
  </si>
  <si>
    <t>〇〇　〇〇</t>
    <phoneticPr fontId="3"/>
  </si>
  <si>
    <t>広島県三原市〇〇町〇〇１２３４－５６</t>
    <rPh sb="0" eb="3">
      <t>ヒロシマケン</t>
    </rPh>
    <rPh sb="3" eb="6">
      <t>ミハラシ</t>
    </rPh>
    <rPh sb="8" eb="9">
      <t>チョウ</t>
    </rPh>
    <phoneticPr fontId="3"/>
  </si>
  <si>
    <t>農林一郎</t>
    <rPh sb="0" eb="2">
      <t>ノウリン</t>
    </rPh>
    <rPh sb="2" eb="4">
      <t>イチロウ</t>
    </rPh>
    <phoneticPr fontId="3"/>
  </si>
  <si>
    <t>維持管理</t>
    <rPh sb="0" eb="2">
      <t>イジ</t>
    </rPh>
    <rPh sb="2" eb="4">
      <t>カンリ</t>
    </rPh>
    <phoneticPr fontId="3"/>
  </si>
  <si>
    <t>稲作</t>
    <rPh sb="0" eb="2">
      <t>イナサク</t>
    </rPh>
    <phoneticPr fontId="3"/>
  </si>
  <si>
    <t>まるまるしゅうらくきょうてい</t>
    <phoneticPr fontId="3"/>
  </si>
  <si>
    <t>まるまる　まるまる</t>
    <phoneticPr fontId="3"/>
  </si>
  <si>
    <t>ひろしまけんみはらしまるまるちょうまるまる</t>
    <phoneticPr fontId="3"/>
  </si>
  <si>
    <t>別紙の通り</t>
    <rPh sb="0" eb="2">
      <t>ベッシ</t>
    </rPh>
    <rPh sb="3" eb="4">
      <t>トオ</t>
    </rPh>
    <phoneticPr fontId="3"/>
  </si>
  <si>
    <t>広島県三原市〇〇町〇〇２２２２－２２</t>
    <rPh sb="0" eb="3">
      <t>ヒロシマケン</t>
    </rPh>
    <rPh sb="3" eb="6">
      <t>ミハラシ</t>
    </rPh>
    <rPh sb="8" eb="9">
      <t>チョウ</t>
    </rPh>
    <phoneticPr fontId="3"/>
  </si>
  <si>
    <t>広島県三原市〇〇町〇〇３３３３－３３</t>
    <rPh sb="0" eb="3">
      <t>ヒロシマケン</t>
    </rPh>
    <rPh sb="3" eb="6">
      <t>ミハラシ</t>
    </rPh>
    <rPh sb="8" eb="9">
      <t>チョウ</t>
    </rPh>
    <phoneticPr fontId="3"/>
  </si>
  <si>
    <t>広島県三原市〇〇町〇〇４４４４－４４</t>
    <rPh sb="0" eb="3">
      <t>ヒロシマケン</t>
    </rPh>
    <rPh sb="3" eb="6">
      <t>ミハラシ</t>
    </rPh>
    <rPh sb="8" eb="9">
      <t>チョウ</t>
    </rPh>
    <phoneticPr fontId="3"/>
  </si>
  <si>
    <t>広島県三原市〇〇町〇〇５５５５－５５</t>
    <rPh sb="0" eb="3">
      <t>ヒロシマケン</t>
    </rPh>
    <rPh sb="3" eb="6">
      <t>ミハラシ</t>
    </rPh>
    <rPh sb="8" eb="9">
      <t>チョウ</t>
    </rPh>
    <phoneticPr fontId="3"/>
  </si>
  <si>
    <t>広島県三原市〇〇町〇〇６６６６－６６</t>
    <rPh sb="0" eb="3">
      <t>ヒロシマケン</t>
    </rPh>
    <rPh sb="3" eb="6">
      <t>ミハラシ</t>
    </rPh>
    <rPh sb="8" eb="9">
      <t>チョウ</t>
    </rPh>
    <phoneticPr fontId="3"/>
  </si>
  <si>
    <t>広島県三原市〇〇町〇〇７７７７－７７</t>
    <rPh sb="0" eb="3">
      <t>ヒロシマケン</t>
    </rPh>
    <rPh sb="3" eb="6">
      <t>ミハラシ</t>
    </rPh>
    <rPh sb="8" eb="9">
      <t>チョウ</t>
    </rPh>
    <phoneticPr fontId="3"/>
  </si>
  <si>
    <t>広島県三原市〇〇町〇〇８８８８－８８</t>
    <rPh sb="0" eb="3">
      <t>ヒロシマケン</t>
    </rPh>
    <rPh sb="3" eb="6">
      <t>ミハラシ</t>
    </rPh>
    <rPh sb="8" eb="9">
      <t>チョウ</t>
    </rPh>
    <phoneticPr fontId="3"/>
  </si>
  <si>
    <t>広島県三原市〇〇町〇〇９９９９－９９</t>
    <rPh sb="0" eb="3">
      <t>ヒロシマケン</t>
    </rPh>
    <rPh sb="3" eb="6">
      <t>ミハラシ</t>
    </rPh>
    <rPh sb="8" eb="9">
      <t>チョウ</t>
    </rPh>
    <phoneticPr fontId="3"/>
  </si>
  <si>
    <t>広島県三原市〇〇町〇〇１０００－１０</t>
    <rPh sb="0" eb="3">
      <t>ヒロシマケン</t>
    </rPh>
    <rPh sb="3" eb="6">
      <t>ミハラシ</t>
    </rPh>
    <rPh sb="8" eb="9">
      <t>チョウ</t>
    </rPh>
    <phoneticPr fontId="3"/>
  </si>
  <si>
    <t>広島県三原市〇〇町〇〇２０００－２０</t>
    <rPh sb="0" eb="3">
      <t>ヒロシマケン</t>
    </rPh>
    <rPh sb="3" eb="6">
      <t>ミハラシ</t>
    </rPh>
    <rPh sb="8" eb="9">
      <t>チョウ</t>
    </rPh>
    <phoneticPr fontId="3"/>
  </si>
  <si>
    <t>広島県三原市〇〇町〇〇３０００－３０</t>
    <rPh sb="0" eb="3">
      <t>ヒロシマケン</t>
    </rPh>
    <rPh sb="3" eb="6">
      <t>ミハラシ</t>
    </rPh>
    <rPh sb="8" eb="9">
      <t>チョウ</t>
    </rPh>
    <phoneticPr fontId="3"/>
  </si>
  <si>
    <t>広島県三原市〇〇町〇〇４０００－４０</t>
    <rPh sb="0" eb="3">
      <t>ヒロシマケン</t>
    </rPh>
    <rPh sb="3" eb="6">
      <t>ミハラシ</t>
    </rPh>
    <rPh sb="8" eb="9">
      <t>チョウ</t>
    </rPh>
    <phoneticPr fontId="3"/>
  </si>
  <si>
    <t>広島県三原市〇〇町〇〇５０００－５０</t>
    <rPh sb="0" eb="3">
      <t>ヒロシマケン</t>
    </rPh>
    <rPh sb="3" eb="6">
      <t>ミハラシ</t>
    </rPh>
    <rPh sb="8" eb="9">
      <t>チョウ</t>
    </rPh>
    <phoneticPr fontId="3"/>
  </si>
  <si>
    <t>広島県三原市〇〇町〇〇６０００－６０</t>
    <rPh sb="0" eb="3">
      <t>ヒロシマケン</t>
    </rPh>
    <rPh sb="3" eb="6">
      <t>ミハラシ</t>
    </rPh>
    <rPh sb="8" eb="9">
      <t>チョウ</t>
    </rPh>
    <phoneticPr fontId="3"/>
  </si>
  <si>
    <t>広島県三原市〇〇町〇〇１０００－１</t>
    <rPh sb="0" eb="3">
      <t>ヒロシマケン</t>
    </rPh>
    <rPh sb="3" eb="6">
      <t>ミハラシ</t>
    </rPh>
    <rPh sb="8" eb="9">
      <t>チョウ</t>
    </rPh>
    <phoneticPr fontId="3"/>
  </si>
  <si>
    <t>広島県三原市〇〇町〇〇１０００－２</t>
    <rPh sb="0" eb="3">
      <t>ヒロシマケン</t>
    </rPh>
    <rPh sb="3" eb="6">
      <t>ミハラシ</t>
    </rPh>
    <rPh sb="8" eb="9">
      <t>チョウ</t>
    </rPh>
    <phoneticPr fontId="3"/>
  </si>
  <si>
    <t>広島県三原市〇〇町〇〇１０００－３</t>
    <rPh sb="0" eb="3">
      <t>ヒロシマケン</t>
    </rPh>
    <rPh sb="3" eb="6">
      <t>ミハラシ</t>
    </rPh>
    <rPh sb="8" eb="9">
      <t>チョウ</t>
    </rPh>
    <phoneticPr fontId="3"/>
  </si>
  <si>
    <t>広島県三原市〇〇町〇〇１０００－４</t>
    <rPh sb="0" eb="3">
      <t>ヒロシマケン</t>
    </rPh>
    <rPh sb="3" eb="6">
      <t>ミハラシ</t>
    </rPh>
    <rPh sb="8" eb="9">
      <t>チョウ</t>
    </rPh>
    <phoneticPr fontId="3"/>
  </si>
  <si>
    <t>農事組合法人 ○○営農　代表理事　○○ ○○</t>
    <rPh sb="0" eb="2">
      <t>ノウジ</t>
    </rPh>
    <rPh sb="2" eb="4">
      <t>クミアイ</t>
    </rPh>
    <rPh sb="4" eb="6">
      <t>ホウジン</t>
    </rPh>
    <rPh sb="9" eb="11">
      <t>エイノウ</t>
    </rPh>
    <rPh sb="12" eb="16">
      <t>ダイヒョウリジ</t>
    </rPh>
    <phoneticPr fontId="3"/>
  </si>
  <si>
    <t>農事組合法人 ××営農　代表理事　○○ ○○</t>
    <rPh sb="0" eb="2">
      <t>ノウジ</t>
    </rPh>
    <rPh sb="2" eb="4">
      <t>クミアイ</t>
    </rPh>
    <rPh sb="4" eb="6">
      <t>ホウジン</t>
    </rPh>
    <rPh sb="9" eb="11">
      <t>エイノウ</t>
    </rPh>
    <phoneticPr fontId="3"/>
  </si>
  <si>
    <t>○○組合　組合長　○○ ○○</t>
    <rPh sb="2" eb="4">
      <t>クミアイ</t>
    </rPh>
    <rPh sb="5" eb="8">
      <t>クミアイチョウ</t>
    </rPh>
    <phoneticPr fontId="3"/>
  </si>
  <si>
    <t>××組合　組合長　○○ ○○</t>
    <rPh sb="2" eb="4">
      <t>クミアイ</t>
    </rPh>
    <phoneticPr fontId="3"/>
  </si>
  <si>
    <t>NPO法人 ○○○　理事長　○○ ○○</t>
    <rPh sb="3" eb="5">
      <t>ホウジン</t>
    </rPh>
    <rPh sb="10" eb="13">
      <t>リジチョウ</t>
    </rPh>
    <phoneticPr fontId="3"/>
  </si>
  <si>
    <t>○○ ○○土地改良区　理事長　○○ ○○</t>
    <rPh sb="5" eb="7">
      <t>トチ</t>
    </rPh>
    <rPh sb="7" eb="9">
      <t>カイリョウ</t>
    </rPh>
    <rPh sb="9" eb="10">
      <t>ク</t>
    </rPh>
    <phoneticPr fontId="3"/>
  </si>
  <si>
    <t>オ</t>
  </si>
  <si>
    <t>ウ</t>
    <phoneticPr fontId="3"/>
  </si>
  <si>
    <t>○○ ○○</t>
    <phoneticPr fontId="3"/>
  </si>
  <si>
    <t>農事組合法人 ○○営農　代表理事　○○ ○○</t>
    <phoneticPr fontId="3"/>
  </si>
  <si>
    <t>農事組合法人 ××営農　代表理事　○○ ○○</t>
    <phoneticPr fontId="3"/>
  </si>
  <si>
    <t>○○組合　組合長　○○ ○○</t>
    <phoneticPr fontId="3"/>
  </si>
  <si>
    <t>××組合　組合長　○○ ○○</t>
    <phoneticPr fontId="3"/>
  </si>
  <si>
    <t>NPO法人 ○○○　理事長　○○ ○○</t>
    <phoneticPr fontId="3"/>
  </si>
  <si>
    <t>○○ ○○土地改良区　理事長　○○ ○○</t>
    <phoneticPr fontId="3"/>
  </si>
  <si>
    <t>広島県三原市〇〇町〇〇１２３４－５６</t>
    <phoneticPr fontId="3"/>
  </si>
  <si>
    <t>広島県三原市〇〇町〇〇２２２２－２２</t>
    <phoneticPr fontId="3"/>
  </si>
  <si>
    <t>広島県三原市〇〇町〇〇３３３３－３３</t>
    <phoneticPr fontId="3"/>
  </si>
  <si>
    <t>広島県三原市〇〇町〇〇４４４４－４４</t>
    <phoneticPr fontId="3"/>
  </si>
  <si>
    <t>広島県三原市〇〇町〇〇５５５５－５５</t>
    <phoneticPr fontId="3"/>
  </si>
  <si>
    <t>広島県三原市〇〇町〇〇６６６６－６６</t>
    <phoneticPr fontId="3"/>
  </si>
  <si>
    <t>広島県三原市〇〇町〇〇７７７７－７７</t>
    <phoneticPr fontId="3"/>
  </si>
  <si>
    <t>広島県三原市〇〇町〇〇８８８８－８８</t>
    <phoneticPr fontId="3"/>
  </si>
  <si>
    <t>広島県三原市〇〇町〇〇９９９９－９９</t>
    <phoneticPr fontId="3"/>
  </si>
  <si>
    <t>広島県三原市〇〇町〇〇１０００－１０</t>
    <phoneticPr fontId="3"/>
  </si>
  <si>
    <t>広島県三原市〇〇町〇〇２０００－２０</t>
    <phoneticPr fontId="3"/>
  </si>
  <si>
    <t>※自作地を対象としない場合は、</t>
    <rPh sb="1" eb="4">
      <t>ジサクチ</t>
    </rPh>
    <rPh sb="5" eb="7">
      <t>タイショウ</t>
    </rPh>
    <rPh sb="11" eb="13">
      <t>バアイ</t>
    </rPh>
    <phoneticPr fontId="3"/>
  </si>
  <si>
    <t>　「第３　農業生産活動等として取り組むべき事項」は任意のため空欄でも可</t>
    <phoneticPr fontId="3"/>
  </si>
  <si>
    <t>※自作地も対象とする場合は、</t>
    <phoneticPr fontId="3"/>
  </si>
  <si>
    <t>　「第３　農業生産活動等として取り組むべき事項」は必須活動</t>
    <rPh sb="25" eb="27">
      <t>ヒッス</t>
    </rPh>
    <rPh sb="27" eb="29">
      <t>カツドウ</t>
    </rPh>
    <phoneticPr fontId="3"/>
  </si>
  <si>
    <t>※「第４　加算措置適用のために取り組むべき事項」は、</t>
    <phoneticPr fontId="3"/>
  </si>
  <si>
    <t>　超急傾斜農地保全管理加算活動に取り組む場合のみ記載すること</t>
    <rPh sb="13" eb="15">
      <t>カツドウ</t>
    </rPh>
    <rPh sb="24" eb="26">
      <t>キサイ</t>
    </rPh>
    <phoneticPr fontId="3"/>
  </si>
  <si>
    <t>（農）〇〇〇　代表理事　〇〇　〇〇</t>
    <rPh sb="1" eb="2">
      <t>ノウ</t>
    </rPh>
    <rPh sb="7" eb="11">
      <t>ダイヒョウリジ</t>
    </rPh>
    <phoneticPr fontId="3"/>
  </si>
  <si>
    <t>（農）〇〇〇　代表理事　〇〇　〇〇</t>
    <phoneticPr fontId="3"/>
  </si>
  <si>
    <t>〇〇</t>
  </si>
  <si>
    <t>〇〇</t>
    <phoneticPr fontId="3"/>
  </si>
  <si>
    <t>111-2</t>
    <phoneticPr fontId="3"/>
  </si>
  <si>
    <t>111-3</t>
    <phoneticPr fontId="3"/>
  </si>
  <si>
    <t>114-1</t>
    <phoneticPr fontId="3"/>
  </si>
  <si>
    <t>114-2</t>
    <phoneticPr fontId="3"/>
  </si>
  <si>
    <t>115-3</t>
    <phoneticPr fontId="3"/>
  </si>
  <si>
    <t>117-1</t>
    <phoneticPr fontId="3"/>
  </si>
  <si>
    <t>118-1</t>
    <phoneticPr fontId="3"/>
  </si>
  <si>
    <t>121-4</t>
    <phoneticPr fontId="3"/>
  </si>
  <si>
    <t>121-5</t>
    <phoneticPr fontId="3"/>
  </si>
  <si>
    <t>121-6</t>
    <phoneticPr fontId="3"/>
  </si>
  <si>
    <t>121-7</t>
    <phoneticPr fontId="3"/>
  </si>
  <si>
    <t>121-8</t>
    <phoneticPr fontId="3"/>
  </si>
  <si>
    <t>132-1</t>
    <phoneticPr fontId="3"/>
  </si>
  <si>
    <t>132-2</t>
    <phoneticPr fontId="3"/>
  </si>
  <si>
    <t>133-1</t>
    <phoneticPr fontId="3"/>
  </si>
  <si>
    <t>133-2</t>
    <phoneticPr fontId="3"/>
  </si>
  <si>
    <t>133-3</t>
    <phoneticPr fontId="3"/>
  </si>
  <si>
    <t>133-4</t>
    <phoneticPr fontId="3"/>
  </si>
  <si>
    <t>140-2</t>
    <phoneticPr fontId="3"/>
  </si>
  <si>
    <t>145-3</t>
    <phoneticPr fontId="3"/>
  </si>
  <si>
    <t>145-6</t>
    <phoneticPr fontId="3"/>
  </si>
  <si>
    <t>147-1</t>
    <phoneticPr fontId="3"/>
  </si>
  <si>
    <t>147-5</t>
    <phoneticPr fontId="3"/>
  </si>
  <si>
    <t>147-6</t>
    <phoneticPr fontId="3"/>
  </si>
  <si>
    <t>160-1</t>
    <phoneticPr fontId="3"/>
  </si>
  <si>
    <t>160-2</t>
    <phoneticPr fontId="3"/>
  </si>
  <si>
    <t>162-1</t>
    <phoneticPr fontId="3"/>
  </si>
  <si>
    <t>162-2</t>
    <phoneticPr fontId="3"/>
  </si>
  <si>
    <t>162-3</t>
    <phoneticPr fontId="3"/>
  </si>
  <si>
    <t>165-1</t>
    <phoneticPr fontId="3"/>
  </si>
  <si>
    <t>166-2</t>
    <phoneticPr fontId="3"/>
  </si>
  <si>
    <t>168-2</t>
    <phoneticPr fontId="3"/>
  </si>
  <si>
    <t>田</t>
    <rPh sb="0" eb="1">
      <t>タ</t>
    </rPh>
    <phoneticPr fontId="3"/>
  </si>
  <si>
    <t>交付額(円）</t>
    <rPh sb="4" eb="5">
      <t>エン</t>
    </rPh>
    <phoneticPr fontId="3"/>
  </si>
  <si>
    <t>耕作</t>
    <rPh sb="0" eb="2">
      <t>コウサク</t>
    </rPh>
    <phoneticPr fontId="3"/>
  </si>
  <si>
    <t>作業受託</t>
    <rPh sb="0" eb="2">
      <t>サギョウ</t>
    </rPh>
    <rPh sb="2" eb="4">
      <t>ジュタク</t>
    </rPh>
    <phoneticPr fontId="3"/>
  </si>
  <si>
    <t>利用権設定</t>
    <rPh sb="0" eb="3">
      <t>リヨウケン</t>
    </rPh>
    <rPh sb="3" eb="5">
      <t>セッテイ</t>
    </rPh>
    <phoneticPr fontId="3"/>
  </si>
  <si>
    <t>●●　●●</t>
    <phoneticPr fontId="3"/>
  </si>
  <si>
    <t>△△　△△</t>
    <phoneticPr fontId="3"/>
  </si>
  <si>
    <t>××　××</t>
    <phoneticPr fontId="1"/>
  </si>
  <si>
    <t>□□　□□</t>
    <phoneticPr fontId="1"/>
  </si>
  <si>
    <t>■■　■■</t>
  </si>
  <si>
    <t>■■　■■</t>
    <phoneticPr fontId="3"/>
  </si>
  <si>
    <t>中山間地域における栽培管理に要する農機具の維持修繕費、農業用資材費、農作業委託料等に使用</t>
    <rPh sb="0" eb="3">
      <t>チュウサンカン</t>
    </rPh>
    <rPh sb="3" eb="5">
      <t>チイキ</t>
    </rPh>
    <rPh sb="9" eb="11">
      <t>サイバイ</t>
    </rPh>
    <rPh sb="11" eb="13">
      <t>カンリ</t>
    </rPh>
    <rPh sb="14" eb="15">
      <t>ヨウ</t>
    </rPh>
    <rPh sb="17" eb="20">
      <t>ノウキグ</t>
    </rPh>
    <rPh sb="21" eb="23">
      <t>イジ</t>
    </rPh>
    <rPh sb="23" eb="26">
      <t>シュウゼンヒ</t>
    </rPh>
    <rPh sb="27" eb="29">
      <t>ノウギョウ</t>
    </rPh>
    <rPh sb="29" eb="30">
      <t>ヨウ</t>
    </rPh>
    <rPh sb="30" eb="32">
      <t>シザイ</t>
    </rPh>
    <rPh sb="32" eb="33">
      <t>ヒ</t>
    </rPh>
    <rPh sb="34" eb="37">
      <t>ノウサギョウ</t>
    </rPh>
    <rPh sb="37" eb="40">
      <t>イタクリョウ</t>
    </rPh>
    <rPh sb="40" eb="41">
      <t>トウ</t>
    </rPh>
    <rPh sb="42" eb="44">
      <t>シヨウ</t>
    </rPh>
    <phoneticPr fontId="3"/>
  </si>
  <si>
    <t>中山間地域における栽培管理に要する農機具の維持修繕費、農業用資材費、農作業委託料等に使用</t>
    <phoneticPr fontId="3"/>
  </si>
  <si>
    <t>　←　個別協定の場合は法人名（個人の場合は個人名）を記入してください。</t>
    <rPh sb="3" eb="5">
      <t>コベツ</t>
    </rPh>
    <rPh sb="5" eb="7">
      <t>キョウテイ</t>
    </rPh>
    <rPh sb="8" eb="10">
      <t>バアイ</t>
    </rPh>
    <rPh sb="11" eb="13">
      <t>ホウジン</t>
    </rPh>
    <rPh sb="13" eb="14">
      <t>メイ</t>
    </rPh>
    <rPh sb="15" eb="17">
      <t>コジン</t>
    </rPh>
    <rPh sb="18" eb="20">
      <t>バアイ</t>
    </rPh>
    <rPh sb="21" eb="24">
      <t>コジンメイ</t>
    </rPh>
    <phoneticPr fontId="3"/>
  </si>
  <si>
    <t>　←　個別協定で法人の場合は、役職も記入してください。</t>
    <rPh sb="3" eb="5">
      <t>コベツ</t>
    </rPh>
    <rPh sb="5" eb="7">
      <t>キョウテイ</t>
    </rPh>
    <rPh sb="8" eb="10">
      <t>ホウジン</t>
    </rPh>
    <rPh sb="11" eb="13">
      <t>バアイ</t>
    </rPh>
    <rPh sb="15" eb="17">
      <t>ヤクショク</t>
    </rPh>
    <rPh sb="18" eb="20">
      <t>キニュウ</t>
    </rPh>
    <phoneticPr fontId="3"/>
  </si>
  <si>
    <t>（参考）</t>
    <rPh sb="1" eb="3">
      <t>サンコウ</t>
    </rPh>
    <phoneticPr fontId="3"/>
  </si>
  <si>
    <t>協定名：</t>
    <rPh sb="0" eb="3">
      <t>キョウテイメイ</t>
    </rPh>
    <phoneticPr fontId="3"/>
  </si>
  <si>
    <t>　中山間地域等直接支払交付金　活動記録</t>
    <rPh sb="1" eb="7">
      <t>チュウサンカンチイキトウ</t>
    </rPh>
    <rPh sb="7" eb="9">
      <t>チョクセツ</t>
    </rPh>
    <phoneticPr fontId="3"/>
  </si>
  <si>
    <t>（多面的機能支払交付金との共通様式）</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</si>
  <si>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</si>
  <si>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</si>
  <si>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</si>
  <si>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</si>
  <si>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</si>
  <si>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</si>
  <si>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</si>
  <si>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</si>
  <si>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</si>
  <si>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</si>
  <si>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</si>
  <si>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</si>
  <si>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</si>
  <si>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</si>
  <si>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</si>
  <si>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</si>
  <si>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</si>
  <si>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</si>
  <si>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合計</t>
    <rPh sb="0" eb="2">
      <t>ゴウケイ</t>
    </rPh>
    <phoneticPr fontId="3"/>
  </si>
  <si>
    <t>活動に参加した最大人数</t>
    <rPh sb="0" eb="2">
      <t>カツドウ</t>
    </rPh>
    <rPh sb="3" eb="5">
      <t>サンカ</t>
    </rPh>
    <rPh sb="7" eb="9">
      <t>サイダイ</t>
    </rPh>
    <rPh sb="9" eb="11">
      <t>ニンズウ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</si>
  <si>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</si>
  <si>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</si>
  <si>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</si>
  <si>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</si>
  <si>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</si>
  <si>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</si>
  <si>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</si>
  <si>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</si>
  <si>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</si>
  <si>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</si>
  <si>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</si>
  <si>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</si>
  <si>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</si>
  <si>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</si>
  <si>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</si>
  <si>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</si>
  <si>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</si>
  <si>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t>
    <phoneticPr fontId="3"/>
  </si>
  <si>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</si>
  <si>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</si>
  <si>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</si>
  <si>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</si>
  <si>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</si>
  <si>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</si>
  <si>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3"/>
  </si>
  <si>
    <t>事務処理</t>
    <rPh sb="0" eb="2">
      <t>ジム</t>
    </rPh>
    <rPh sb="2" eb="4">
      <t>ショリ</t>
    </rPh>
    <phoneticPr fontId="3"/>
  </si>
  <si>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</si>
  <si>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</si>
  <si>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</si>
  <si>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</si>
  <si>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</si>
  <si>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</si>
  <si>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</si>
  <si>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</si>
  <si>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</si>
  <si>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</si>
  <si>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</si>
  <si>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</si>
  <si>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</si>
  <si>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</si>
  <si>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</si>
  <si>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</si>
  <si>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</si>
  <si>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</si>
  <si>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</si>
  <si>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</si>
  <si>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</si>
  <si>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</si>
  <si>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</si>
  <si>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</si>
  <si>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</si>
  <si>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</si>
  <si>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</si>
  <si>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</si>
  <si>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</si>
  <si>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</si>
  <si>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</si>
  <si>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</si>
  <si>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</si>
  <si>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計画策定</t>
    <rPh sb="0" eb="2">
      <t>ケイカク</t>
    </rPh>
    <rPh sb="2" eb="4">
      <t>サクテイ</t>
    </rPh>
    <phoneticPr fontId="3"/>
  </si>
  <si>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</si>
  <si>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</si>
  <si>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</si>
  <si>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</si>
  <si>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</si>
  <si>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研修</t>
    <rPh sb="0" eb="2">
      <t>ケンシュウ</t>
    </rPh>
    <phoneticPr fontId="3"/>
  </si>
  <si>
    <t>3 事務・組織運営等に関する研修、機械の安全使用に関する研修</t>
    <phoneticPr fontId="89"/>
  </si>
  <si>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</si>
  <si>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</si>
  <si>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</si>
  <si>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</si>
  <si>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</si>
  <si>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</si>
  <si>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</si>
  <si>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</si>
  <si>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</si>
  <si>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</si>
  <si>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</si>
  <si>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</si>
  <si>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</si>
  <si>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</si>
  <si>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</si>
  <si>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</si>
  <si>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</si>
  <si>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</si>
  <si>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</si>
  <si>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</si>
  <si>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</si>
  <si>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</si>
  <si>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</si>
  <si>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</si>
  <si>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</si>
  <si>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</si>
  <si>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</si>
  <si>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</si>
  <si>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</si>
  <si>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</si>
  <si>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</si>
  <si>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</si>
  <si>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</si>
  <si>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</si>
  <si>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</si>
  <si>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</si>
  <si>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</si>
  <si>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</si>
  <si>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</si>
  <si>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</si>
  <si>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</si>
  <si>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</si>
  <si>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</si>
  <si>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</si>
  <si>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</si>
  <si>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</si>
  <si>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</si>
  <si>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</si>
  <si>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</si>
  <si>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</si>
  <si>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</si>
  <si>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</si>
  <si>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</si>
  <si>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</si>
  <si>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</si>
  <si>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</si>
  <si>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</si>
  <si>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</si>
  <si>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</si>
  <si>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</si>
  <si>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</si>
  <si>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</si>
  <si>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</si>
  <si>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</si>
  <si>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</si>
  <si>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</si>
  <si>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</si>
  <si>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</si>
  <si>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</si>
  <si>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</si>
  <si>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</si>
  <si>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</si>
  <si>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</si>
  <si>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</si>
  <si>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</si>
  <si>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</si>
  <si>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</si>
  <si>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</si>
  <si>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</si>
  <si>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</si>
  <si>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</si>
  <si>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</si>
  <si>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</si>
  <si>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</si>
  <si>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</si>
  <si>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</si>
  <si>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</si>
  <si>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</si>
  <si>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</si>
  <si>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</si>
  <si>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</si>
  <si>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</si>
  <si>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</si>
  <si>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</si>
  <si>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</si>
  <si>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</si>
  <si>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</si>
  <si>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</si>
  <si>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</si>
  <si>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</si>
  <si>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</si>
  <si>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</si>
  <si>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9"/>
  </si>
  <si>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</si>
  <si>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</si>
  <si>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</si>
  <si>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</si>
  <si>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</si>
  <si>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</si>
  <si>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</si>
  <si>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9"/>
  </si>
  <si>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</si>
  <si>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</si>
  <si>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</si>
  <si>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</si>
  <si>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</si>
  <si>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9"/>
  </si>
  <si>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</si>
  <si>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</si>
  <si>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</si>
  <si>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</si>
  <si>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</si>
  <si>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</si>
  <si>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</si>
  <si>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</si>
  <si>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</si>
  <si>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</si>
  <si>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</si>
  <si>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</si>
  <si>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</si>
  <si>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</si>
  <si>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中山間直払</t>
    <rPh sb="0" eb="3">
      <t>チュウサンカン</t>
    </rPh>
    <rPh sb="3" eb="5">
      <t>チョクバラ</t>
    </rPh>
    <phoneticPr fontId="3"/>
  </si>
  <si>
    <t>-</t>
    <phoneticPr fontId="3"/>
  </si>
  <si>
    <t>農地法面の見回り</t>
    <rPh sb="0" eb="2">
      <t>ノウチ</t>
    </rPh>
    <rPh sb="2" eb="4">
      <t>ノリメン</t>
    </rPh>
    <rPh sb="5" eb="7">
      <t>ミマワ</t>
    </rPh>
    <phoneticPr fontId="3"/>
  </si>
  <si>
    <t>-</t>
    <phoneticPr fontId="3"/>
  </si>
  <si>
    <t>-</t>
    <phoneticPr fontId="3"/>
  </si>
  <si>
    <t>鳥獣被害防止対策</t>
    <rPh sb="0" eb="8">
      <t>チョウジュウヒガイボウシタイサク</t>
    </rPh>
    <phoneticPr fontId="3"/>
  </si>
  <si>
    <t>-</t>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</si>
  <si>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</si>
  <si>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</si>
  <si>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</si>
  <si>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</si>
  <si>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</si>
  <si>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</si>
  <si>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</si>
  <si>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</si>
  <si>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</si>
  <si>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</si>
  <si>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この線より上に行を挿入してください。</t>
  </si>
  <si>
    <t>ー</t>
    <phoneticPr fontId="3"/>
  </si>
  <si>
    <t>中山間地域等直接支払交付金　活動記録</t>
    <rPh sb="0" eb="10">
      <t>チュウサンカンチイキトウチョクセツシハライ</t>
    </rPh>
    <rPh sb="10" eb="13">
      <t>コウフキン</t>
    </rPh>
    <rPh sb="14" eb="18">
      <t>カツドウキロク</t>
    </rPh>
    <phoneticPr fontId="3"/>
  </si>
  <si>
    <t>活動記録（参考）</t>
    <rPh sb="0" eb="4">
      <t>カツドウキロク</t>
    </rPh>
    <rPh sb="5" eb="7">
      <t>サンコウ</t>
    </rPh>
    <phoneticPr fontId="3"/>
  </si>
  <si>
    <r>
      <t>　</t>
    </r>
    <r>
      <rPr>
        <sz val="11"/>
        <color rgb="FFFF0000"/>
        <rFont val="ＭＳ 明朝"/>
        <family val="1"/>
        <charset val="128"/>
      </rPr>
      <t>令和○年度</t>
    </r>
    <r>
      <rPr>
        <sz val="11"/>
        <rFont val="ＭＳ 明朝"/>
        <family val="1"/>
        <charset val="128"/>
      </rPr>
      <t>に交付を受けた交付金について、共同取組活動に要する経費として下記のとおり集落協定代表者に対して支出を行うので提出する。</t>
    </r>
    <rPh sb="1" eb="3">
      <t>レイワ</t>
    </rPh>
    <phoneticPr fontId="3"/>
  </si>
  <si>
    <r>
      <t>・</t>
    </r>
    <r>
      <rPr>
        <b/>
        <u/>
        <sz val="1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</si>
  <si>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</si>
  <si>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</si>
  <si>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r>
      <t xml:space="preserve">農業の有する多面的機能の発揮の促進に関する活動計画書
</t>
    </r>
    <r>
      <rPr>
        <sz val="11"/>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</si>
  <si>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</si>
  <si>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</si>
  <si>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</si>
  <si>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</si>
  <si>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t>オ</t>
    <phoneticPr fontId="3"/>
  </si>
  <si>
    <r>
      <t>・</t>
    </r>
    <r>
      <rPr>
        <b/>
        <sz val="11"/>
        <rFont val="HG丸ｺﾞｼｯｸM-PRO"/>
        <family val="3"/>
        <charset val="128"/>
      </rPr>
      <t>すべての集落協定または個別協定の方が入力する必要のあるセルには、この色（オレンジ色）が塗ってあります。</t>
    </r>
    <rPh sb="5" eb="9">
      <t>シュウラクキョウテイ</t>
    </rPh>
    <rPh sb="12" eb="14">
      <t>コベツ</t>
    </rPh>
    <rPh sb="14" eb="16">
      <t>キョウテイ</t>
    </rPh>
    <rPh sb="17" eb="18">
      <t>カタ</t>
    </rPh>
    <rPh sb="19" eb="21">
      <t>ニュウリョク</t>
    </rPh>
    <rPh sb="23" eb="25">
      <t>ヒツヨウ</t>
    </rPh>
    <rPh sb="41" eb="42">
      <t>イロ</t>
    </rPh>
    <phoneticPr fontId="3"/>
  </si>
  <si>
    <r>
      <t>・</t>
    </r>
    <r>
      <rPr>
        <b/>
        <sz val="11"/>
        <rFont val="HG丸ｺﾞｼｯｸM-PRO"/>
        <family val="3"/>
        <charset val="128"/>
      </rPr>
      <t>該当する場合に</t>
    </r>
    <r>
      <rPr>
        <sz val="11"/>
        <rFont val="HG丸ｺﾞｼｯｸM-PRO"/>
        <family val="3"/>
        <charset val="128"/>
      </rPr>
      <t>、集落協定または個別協定の方が入力する必要のあるセルには、この色（薄いオレンジ色）が塗ってあります。</t>
    </r>
    <rPh sb="9" eb="13">
      <t>シュウラクキョウテイ</t>
    </rPh>
    <rPh sb="21" eb="22">
      <t>カタ</t>
    </rPh>
    <rPh sb="23" eb="25">
      <t>ニュウリョク</t>
    </rPh>
    <rPh sb="27" eb="29">
      <t>ヒツヨウ</t>
    </rPh>
    <rPh sb="39" eb="40">
      <t>イロ</t>
    </rPh>
    <rPh sb="41" eb="42">
      <t>ウス</t>
    </rPh>
    <rPh sb="47" eb="48">
      <t>イロ</t>
    </rPh>
    <rPh sb="50" eb="51">
      <t>ヌ</t>
    </rPh>
    <phoneticPr fontId="3"/>
  </si>
  <si>
    <t>（※集落協定の方は、まず初めに、「別紙２①」の「農用地の内訳等及びネットワーク化活動計画」を入力すると作成がスムーズです。）</t>
    <rPh sb="2" eb="4">
      <t>シュウラク</t>
    </rPh>
    <rPh sb="4" eb="6">
      <t>キョウテイ</t>
    </rPh>
    <rPh sb="7" eb="8">
      <t>カタ</t>
    </rPh>
    <rPh sb="12" eb="13">
      <t>ハジ</t>
    </rPh>
    <rPh sb="17" eb="19">
      <t>ベッシ</t>
    </rPh>
    <rPh sb="46" eb="48">
      <t>ニュウリョク</t>
    </rPh>
    <rPh sb="51" eb="53">
      <t>サクセイ</t>
    </rPh>
    <phoneticPr fontId="3"/>
  </si>
  <si>
    <r>
      <t xml:space="preserve">必須
</t>
    </r>
    <r>
      <rPr>
        <sz val="9"/>
        <rFont val="Meiryo UI"/>
        <family val="3"/>
        <charset val="128"/>
      </rPr>
      <t>（集落協定）</t>
    </r>
    <rPh sb="0" eb="2">
      <t>ヒッス</t>
    </rPh>
    <rPh sb="4" eb="6">
      <t>シュウラク</t>
    </rPh>
    <rPh sb="6" eb="8">
      <t>キョウテイ</t>
    </rPh>
    <phoneticPr fontId="3"/>
  </si>
  <si>
    <t>農作業受委託契約している農地を中山間の農地に入れる場合は写しを提出
（個別協定）</t>
    <rPh sb="0" eb="3">
      <t>ノウサギョウ</t>
    </rPh>
    <rPh sb="3" eb="6">
      <t>ジュイタク</t>
    </rPh>
    <rPh sb="6" eb="8">
      <t>ケイヤク</t>
    </rPh>
    <rPh sb="12" eb="14">
      <t>ノウチ</t>
    </rPh>
    <rPh sb="15" eb="18">
      <t>チュウサンカン</t>
    </rPh>
    <rPh sb="19" eb="21">
      <t>ノウチ</t>
    </rPh>
    <rPh sb="22" eb="23">
      <t>イ</t>
    </rPh>
    <rPh sb="25" eb="27">
      <t>バアイ</t>
    </rPh>
    <rPh sb="28" eb="29">
      <t>ウツ</t>
    </rPh>
    <rPh sb="31" eb="33">
      <t>テイシュツ</t>
    </rPh>
    <rPh sb="35" eb="37">
      <t>コベツ</t>
    </rPh>
    <rPh sb="37" eb="39">
      <t>キョウテイ</t>
    </rPh>
    <phoneticPr fontId="3"/>
  </si>
  <si>
    <r>
      <t xml:space="preserve">傾斜度
</t>
    </r>
    <r>
      <rPr>
        <sz val="8"/>
        <rFont val="ＭＳ ゴシック"/>
        <family val="3"/>
        <charset val="128"/>
      </rPr>
      <t>(1/〇〇）</t>
    </r>
    <phoneticPr fontId="3"/>
  </si>
  <si>
    <t>傾斜</t>
    <phoneticPr fontId="3"/>
  </si>
  <si>
    <t>傾斜度（１／〇〇）</t>
    <rPh sb="0" eb="2">
      <t>ケイシャ</t>
    </rPh>
    <rPh sb="2" eb="3">
      <t>ド</t>
    </rPh>
    <phoneticPr fontId="3"/>
  </si>
  <si>
    <t>緩傾斜</t>
    <rPh sb="0" eb="3">
      <t>カンケイシャ</t>
    </rPh>
    <phoneticPr fontId="3"/>
  </si>
  <si>
    <t>急傾斜</t>
    <rPh sb="0" eb="1">
      <t>キュウ</t>
    </rPh>
    <rPh sb="1" eb="3">
      <t>ケイシャ</t>
    </rPh>
    <phoneticPr fontId="3"/>
  </si>
  <si>
    <t>　　　別紙１</t>
    <rPh sb="3" eb="5">
      <t>ベッシ</t>
    </rPh>
    <phoneticPr fontId="3"/>
  </si>
  <si>
    <t>耕作地</t>
    <rPh sb="0" eb="3">
      <t>コウサクチ</t>
    </rPh>
    <phoneticPr fontId="3"/>
  </si>
  <si>
    <t>維持管理農用地</t>
    <rPh sb="0" eb="2">
      <t>イジ</t>
    </rPh>
    <rPh sb="2" eb="4">
      <t>カンリ</t>
    </rPh>
    <rPh sb="4" eb="7">
      <t>ノウヨウチ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</si>
</sst>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General;;"/>
    <numFmt numFmtId="203" formatCode="[$-411]ggge&quot;年&quot;m&quot;月&quot;d&quot;日&quot;;@"/>
    <numFmt numFmtId="204" formatCode="#,##0.0;[Red]\-#,##0.0"/>
    <numFmt numFmtId="205" formatCode="#&quot;日&quot;"/>
    <numFmt numFmtId="206" formatCode="#&quot; 日&quot;"/>
    <numFmt numFmtId="207" formatCode="#,###.00&quot; a&quot;"/>
    <numFmt numFmtId="208" formatCode="m/d;@"/>
    <numFmt numFmtId="209" formatCode="h:mm;@"/>
    <numFmt numFmtId="210" formatCode="#0.0&quot;時間&quot;"/>
    <numFmt numFmtId="211" formatCode="#,##0&quot;人&quot;"/>
    <numFmt numFmtId="212" formatCode="#&quot;人&quot;;;"/>
    <numFmt numFmtId="213" formatCode="@&quot;人&quot;"/>
    <numFmt numFmtId="214" formatCode="m&quot;月&quot;d&quot;日&quot;;@"/>
    <numFmt numFmtId="215" formatCode="h&quot;時&quot;mm&quot;分&quot;;@"/>
  </numFmts>
  <fonts count="1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sz val="9"/>
      <name val="メイリオ"/>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2"/>
      <color rgb="FFFF0000"/>
      <name val="ＭＳ Ｐゴシック"/>
      <family val="3"/>
      <charset val="128"/>
    </font>
    <font>
      <sz val="11"/>
      <color rgb="FFFF0000"/>
      <name val="メイリオ"/>
      <family val="3"/>
      <charset val="128"/>
    </font>
    <font>
      <sz val="12"/>
      <color theme="1"/>
      <name val="メイリオ"/>
      <family val="3"/>
      <charset val="128"/>
    </font>
    <font>
      <sz val="11"/>
      <color theme="1"/>
      <name val="メイリオ"/>
      <family val="3"/>
      <charset val="128"/>
    </font>
    <font>
      <b/>
      <sz val="14"/>
      <name val="メイリオ"/>
      <family val="3"/>
      <charset val="128"/>
    </font>
    <font>
      <b/>
      <sz val="10"/>
      <name val="HG丸ｺﾞｼｯｸM-PRO"/>
      <family val="3"/>
      <charset val="128"/>
    </font>
    <font>
      <sz val="10"/>
      <color theme="0" tint="-0.499984740745262"/>
      <name val="HG丸ｺﾞｼｯｸM-PRO"/>
      <family val="3"/>
      <charset val="128"/>
    </font>
    <font>
      <b/>
      <sz val="8"/>
      <color rgb="FFFF0000"/>
      <name val="メイリオ"/>
      <family val="3"/>
      <charset val="128"/>
    </font>
    <font>
      <b/>
      <sz val="11"/>
      <color theme="0"/>
      <name val="メイリオ"/>
      <family val="3"/>
      <charset val="128"/>
    </font>
    <font>
      <b/>
      <sz val="14"/>
      <color rgb="FFFF000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b/>
      <u/>
      <sz val="10"/>
      <name val="HG丸ｺﾞｼｯｸM-PRO"/>
      <family val="3"/>
      <charset val="128"/>
    </font>
    <font>
      <sz val="14"/>
      <name val="ＭＳ Ｐゴシック"/>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s>
  <borders count="18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auto="1"/>
      </top>
      <bottom style="thin">
        <color auto="1"/>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1" fillId="0" borderId="0">
      <alignment vertical="center"/>
    </xf>
    <xf numFmtId="0" fontId="121" fillId="0" borderId="0" applyNumberFormat="0" applyFill="0" applyBorder="0" applyAlignment="0" applyProtection="0">
      <alignment vertical="center"/>
    </xf>
    <xf numFmtId="0" fontId="125"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2012">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5" xfId="0" applyFont="1" applyBorder="1">
      <alignment vertical="center"/>
    </xf>
    <xf numFmtId="0" fontId="13" fillId="0" borderId="0" xfId="0" applyFont="1">
      <alignment vertical="center"/>
    </xf>
    <xf numFmtId="0" fontId="16" fillId="0" borderId="0" xfId="0" applyFont="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43" xfId="0" applyFont="1" applyBorder="1">
      <alignment vertical="center"/>
    </xf>
    <xf numFmtId="0" fontId="6" fillId="0" borderId="31" xfId="0" applyFont="1" applyBorder="1">
      <alignment vertical="center"/>
    </xf>
    <xf numFmtId="0" fontId="6" fillId="0" borderId="44" xfId="0" applyFont="1" applyBorder="1">
      <alignment vertical="center"/>
    </xf>
    <xf numFmtId="0" fontId="6" fillId="0" borderId="39" xfId="0" applyFont="1" applyBorder="1">
      <alignment vertical="center"/>
    </xf>
    <xf numFmtId="0" fontId="6" fillId="0" borderId="45" xfId="0" applyFont="1" applyBorder="1">
      <alignment vertical="center"/>
    </xf>
    <xf numFmtId="0" fontId="6" fillId="0" borderId="46" xfId="0" applyFont="1" applyBorder="1">
      <alignment vertical="center"/>
    </xf>
    <xf numFmtId="0" fontId="27" fillId="0" borderId="0" xfId="0" applyFont="1">
      <alignment vertical="center"/>
    </xf>
    <xf numFmtId="0" fontId="6" fillId="7" borderId="8" xfId="0" applyFont="1" applyFill="1" applyBorder="1">
      <alignment vertical="center"/>
    </xf>
    <xf numFmtId="0" fontId="6" fillId="7" borderId="6" xfId="0" applyFont="1" applyFill="1" applyBorder="1">
      <alignment vertical="center"/>
    </xf>
    <xf numFmtId="0" fontId="6" fillId="7" borderId="3" xfId="0" applyFont="1" applyFill="1" applyBorder="1">
      <alignment vertical="center"/>
    </xf>
    <xf numFmtId="0" fontId="6" fillId="7" borderId="7" xfId="0" applyFont="1" applyFill="1" applyBorder="1">
      <alignment vertical="center"/>
    </xf>
    <xf numFmtId="0" fontId="6" fillId="7" borderId="0" xfId="0" applyFont="1" applyFill="1">
      <alignment vertical="center"/>
    </xf>
    <xf numFmtId="0" fontId="6" fillId="7" borderId="5" xfId="0" applyFont="1" applyFill="1" applyBorder="1">
      <alignment vertical="center"/>
    </xf>
    <xf numFmtId="0" fontId="6" fillId="7" borderId="2" xfId="0" applyFont="1" applyFill="1" applyBorder="1">
      <alignment vertical="center"/>
    </xf>
    <xf numFmtId="0" fontId="6" fillId="7" borderId="9"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5"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49"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37"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37" xfId="0" applyBorder="1" applyAlignment="1">
      <alignment vertical="center" shrinkToFit="1"/>
    </xf>
    <xf numFmtId="0" fontId="55" fillId="0" borderId="0" xfId="0" applyFont="1" applyAlignment="1">
      <alignment horizontal="right" vertical="center"/>
    </xf>
    <xf numFmtId="0" fontId="9" fillId="0" borderId="5" xfId="0" applyFont="1" applyBorder="1">
      <alignment vertical="center"/>
    </xf>
    <xf numFmtId="0" fontId="0" fillId="0" borderId="37" xfId="0" applyBorder="1">
      <alignment vertical="center"/>
    </xf>
    <xf numFmtId="0" fontId="0" fillId="2" borderId="37" xfId="0" applyFill="1" applyBorder="1">
      <alignment vertical="center"/>
    </xf>
    <xf numFmtId="0" fontId="57" fillId="0" borderId="37" xfId="0" applyFont="1" applyBorder="1">
      <alignment vertical="center"/>
    </xf>
    <xf numFmtId="0" fontId="0" fillId="5" borderId="8"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5" fillId="7" borderId="35" xfId="0" applyFont="1" applyFill="1" applyBorder="1" applyAlignment="1">
      <alignment horizontal="center" vertical="center" shrinkToFit="1"/>
    </xf>
    <xf numFmtId="0" fontId="45" fillId="7" borderId="35" xfId="0" applyFont="1" applyFill="1" applyBorder="1" applyAlignment="1">
      <alignment horizontal="left" vertical="center" shrinkToFit="1"/>
    </xf>
    <xf numFmtId="0" fontId="45" fillId="7" borderId="35" xfId="0" applyFont="1" applyFill="1" applyBorder="1" applyAlignment="1">
      <alignment horizontal="center" vertical="center" wrapText="1"/>
    </xf>
    <xf numFmtId="0" fontId="8" fillId="0" borderId="0" xfId="0" applyFont="1" applyAlignment="1">
      <alignment horizontal="left" vertical="center" wrapText="1"/>
    </xf>
    <xf numFmtId="0" fontId="0" fillId="0" borderId="65" xfId="0" applyBorder="1">
      <alignment vertical="center"/>
    </xf>
    <xf numFmtId="0" fontId="9" fillId="0" borderId="11" xfId="0" applyFont="1" applyBorder="1">
      <alignment vertical="center"/>
    </xf>
    <xf numFmtId="0" fontId="16" fillId="0" borderId="65" xfId="0" applyFont="1" applyBorder="1">
      <alignment vertical="center"/>
    </xf>
    <xf numFmtId="0" fontId="8" fillId="0" borderId="11" xfId="0" applyFont="1" applyBorder="1">
      <alignment vertical="center"/>
    </xf>
    <xf numFmtId="0" fontId="9" fillId="0" borderId="65" xfId="0" applyFont="1" applyBorder="1">
      <alignment vertical="center"/>
    </xf>
    <xf numFmtId="0" fontId="9" fillId="0" borderId="75" xfId="0" applyFont="1" applyBorder="1">
      <alignment vertical="center"/>
    </xf>
    <xf numFmtId="0" fontId="9" fillId="0" borderId="13" xfId="0" applyFont="1" applyBorder="1">
      <alignment vertical="center"/>
    </xf>
    <xf numFmtId="0" fontId="9" fillId="0" borderId="14" xfId="0" applyFont="1" applyBorder="1">
      <alignment vertical="center"/>
    </xf>
    <xf numFmtId="184" fontId="6" fillId="0" borderId="0" xfId="0" applyNumberFormat="1" applyFont="1">
      <alignment vertical="center"/>
    </xf>
    <xf numFmtId="0" fontId="71" fillId="0" borderId="0" xfId="0" applyFont="1">
      <alignment vertical="center"/>
    </xf>
    <xf numFmtId="0" fontId="72" fillId="0" borderId="0" xfId="0" applyFont="1">
      <alignment vertical="center"/>
    </xf>
    <xf numFmtId="0" fontId="73"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39" xfId="0" applyFont="1" applyFill="1" applyBorder="1" applyAlignment="1">
      <alignment horizontal="left" vertical="center" wrapText="1"/>
    </xf>
    <xf numFmtId="0" fontId="41" fillId="8" borderId="48" xfId="0" applyFont="1" applyFill="1" applyBorder="1" applyAlignment="1">
      <alignment horizontal="center" vertical="center"/>
    </xf>
    <xf numFmtId="0" fontId="41" fillId="9" borderId="21" xfId="0" applyFont="1" applyFill="1" applyBorder="1" applyAlignment="1">
      <alignment horizontal="center" vertical="center" wrapText="1"/>
    </xf>
    <xf numFmtId="0" fontId="61" fillId="9" borderId="21"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39" xfId="0" applyBorder="1" applyAlignment="1">
      <alignment horizontal="center" vertical="center"/>
    </xf>
    <xf numFmtId="0" fontId="38" fillId="8" borderId="37" xfId="0" applyFont="1" applyFill="1" applyBorder="1" applyAlignment="1">
      <alignment horizontal="center" vertical="center"/>
    </xf>
    <xf numFmtId="0" fontId="38" fillId="8" borderId="42" xfId="0" applyFont="1" applyFill="1" applyBorder="1" applyAlignment="1">
      <alignment horizontal="center" vertical="center"/>
    </xf>
    <xf numFmtId="0" fontId="4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8" fillId="7" borderId="39" xfId="0" applyFont="1" applyFill="1" applyBorder="1" applyAlignment="1">
      <alignment horizontal="left" vertical="center" shrinkToFit="1"/>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8" borderId="42" xfId="14" applyFont="1" applyFill="1" applyBorder="1" applyAlignment="1">
      <alignment horizontal="center" vertical="center"/>
    </xf>
    <xf numFmtId="0" fontId="9" fillId="8" borderId="38" xfId="14" applyFont="1" applyFill="1" applyBorder="1" applyAlignment="1">
      <alignment horizontal="center" vertical="center"/>
    </xf>
    <xf numFmtId="0" fontId="0" fillId="0" borderId="41" xfId="0" applyBorder="1" applyAlignment="1">
      <alignment horizontal="left" vertical="center" wrapText="1"/>
    </xf>
    <xf numFmtId="0" fontId="48" fillId="8" borderId="37" xfId="0" applyFont="1" applyFill="1" applyBorder="1" applyAlignment="1">
      <alignment horizontal="center" vertical="center"/>
    </xf>
    <xf numFmtId="0" fontId="48" fillId="3" borderId="6" xfId="0" applyFont="1" applyFill="1" applyBorder="1" applyAlignment="1">
      <alignment horizontal="center" vertical="center" wrapText="1"/>
    </xf>
    <xf numFmtId="0" fontId="47" fillId="3" borderId="41" xfId="0" applyFont="1" applyFill="1" applyBorder="1" applyAlignment="1">
      <alignment horizontal="center" vertical="center"/>
    </xf>
    <xf numFmtId="0" fontId="48" fillId="7" borderId="42" xfId="0" applyFont="1" applyFill="1" applyBorder="1" applyAlignment="1">
      <alignment horizontal="center" vertical="top"/>
    </xf>
    <xf numFmtId="0" fontId="48" fillId="3" borderId="7" xfId="0" applyFont="1" applyFill="1" applyBorder="1" applyAlignment="1">
      <alignment horizontal="center" vertical="top" wrapText="1"/>
    </xf>
    <xf numFmtId="0" fontId="48" fillId="3" borderId="0" xfId="0" applyFont="1" applyFill="1" applyAlignment="1">
      <alignment horizontal="center" vertical="center"/>
    </xf>
    <xf numFmtId="0" fontId="48" fillId="3" borderId="5" xfId="0" applyFont="1" applyFill="1" applyBorder="1" applyAlignment="1">
      <alignment horizontal="center" vertical="top"/>
    </xf>
    <xf numFmtId="0" fontId="48" fillId="7" borderId="4" xfId="0" applyFont="1" applyFill="1" applyBorder="1" applyAlignment="1">
      <alignment horizontal="center" vertical="top"/>
    </xf>
    <xf numFmtId="0" fontId="48" fillId="3" borderId="7" xfId="0" applyFont="1" applyFill="1" applyBorder="1" applyAlignment="1">
      <alignment horizontal="center" vertical="center" wrapText="1"/>
    </xf>
    <xf numFmtId="0" fontId="47" fillId="3" borderId="5" xfId="0" applyFont="1" applyFill="1" applyBorder="1" applyAlignment="1">
      <alignment horizontal="center" vertical="center"/>
    </xf>
    <xf numFmtId="0" fontId="48" fillId="7" borderId="1" xfId="0" applyFont="1" applyFill="1" applyBorder="1" applyAlignment="1">
      <alignment horizontal="center" vertical="top"/>
    </xf>
    <xf numFmtId="0" fontId="48" fillId="7" borderId="37" xfId="0" applyFont="1" applyFill="1" applyBorder="1" applyAlignment="1">
      <alignment horizontal="center" vertical="top"/>
    </xf>
    <xf numFmtId="0" fontId="48" fillId="3" borderId="2" xfId="0" applyFont="1" applyFill="1" applyBorder="1" applyAlignment="1">
      <alignment horizontal="center" vertical="top" wrapText="1"/>
    </xf>
    <xf numFmtId="0" fontId="48" fillId="3" borderId="8" xfId="0" applyFont="1" applyFill="1" applyBorder="1" applyAlignment="1">
      <alignment horizontal="center" vertical="top"/>
    </xf>
    <xf numFmtId="0" fontId="48" fillId="3" borderId="9" xfId="0" applyFont="1" applyFill="1" applyBorder="1" applyAlignment="1">
      <alignment horizontal="center" vertical="top"/>
    </xf>
    <xf numFmtId="0" fontId="48" fillId="7" borderId="38"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4" fillId="0" borderId="0" xfId="0" applyFont="1" applyAlignment="1">
      <alignment horizontal="right" vertical="top"/>
    </xf>
    <xf numFmtId="0" fontId="0" fillId="0" borderId="0" xfId="0" applyProtection="1">
      <alignment vertical="center"/>
      <protection locked="0"/>
    </xf>
    <xf numFmtId="0" fontId="68" fillId="0" borderId="0" xfId="0" applyFont="1" applyProtection="1">
      <alignment vertical="center"/>
      <protection locked="0"/>
    </xf>
    <xf numFmtId="0" fontId="69" fillId="0" borderId="0" xfId="0" applyFont="1">
      <alignment vertical="center"/>
    </xf>
    <xf numFmtId="0" fontId="68" fillId="0" borderId="0" xfId="0" applyFont="1">
      <alignment vertical="center"/>
    </xf>
    <xf numFmtId="0" fontId="8" fillId="0" borderId="0" xfId="0" applyFont="1" applyAlignment="1">
      <alignment vertical="top"/>
    </xf>
    <xf numFmtId="0" fontId="68" fillId="0" borderId="0" xfId="0" applyFont="1" applyAlignment="1">
      <alignment vertical="top"/>
    </xf>
    <xf numFmtId="40" fontId="0" fillId="0" borderId="0" xfId="0" applyNumberFormat="1">
      <alignment vertical="center"/>
    </xf>
    <xf numFmtId="0" fontId="43" fillId="3" borderId="48" xfId="0" applyFont="1" applyFill="1" applyBorder="1" applyAlignment="1">
      <alignment horizontal="center" vertical="center" wrapText="1"/>
    </xf>
    <xf numFmtId="0" fontId="43" fillId="3" borderId="59" xfId="0" applyFont="1" applyFill="1" applyBorder="1" applyAlignment="1">
      <alignment vertical="center" wrapText="1"/>
    </xf>
    <xf numFmtId="38" fontId="43" fillId="5" borderId="21" xfId="2" applyFont="1" applyFill="1" applyBorder="1" applyAlignment="1" applyProtection="1">
      <alignment vertical="center" shrinkToFit="1"/>
    </xf>
    <xf numFmtId="0" fontId="43" fillId="3" borderId="60" xfId="0" applyFont="1" applyFill="1" applyBorder="1" applyAlignment="1">
      <alignment horizontal="center" vertical="center" wrapText="1"/>
    </xf>
    <xf numFmtId="0" fontId="43" fillId="3" borderId="59" xfId="0" applyFont="1" applyFill="1" applyBorder="1" applyAlignment="1">
      <alignment horizontal="center" vertical="center" wrapText="1"/>
    </xf>
    <xf numFmtId="38" fontId="43" fillId="3" borderId="60" xfId="0" applyNumberFormat="1" applyFont="1" applyFill="1" applyBorder="1" applyAlignment="1">
      <alignment horizontal="center" vertical="center" wrapText="1"/>
    </xf>
    <xf numFmtId="0" fontId="43" fillId="3" borderId="61"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7" fillId="0" borderId="37" xfId="0" applyFont="1" applyBorder="1" applyAlignment="1">
      <alignment horizontal="center" vertical="center" shrinkToFit="1"/>
    </xf>
    <xf numFmtId="0" fontId="16" fillId="3" borderId="3" xfId="0" applyFont="1" applyFill="1" applyBorder="1">
      <alignment vertical="center"/>
    </xf>
    <xf numFmtId="0" fontId="16" fillId="3" borderId="8" xfId="0" applyFont="1" applyFill="1" applyBorder="1">
      <alignment vertical="center"/>
    </xf>
    <xf numFmtId="0" fontId="77" fillId="0" borderId="42" xfId="0" applyFont="1" applyBorder="1" applyAlignment="1">
      <alignment horizontal="center" vertical="center" shrinkToFit="1"/>
    </xf>
    <xf numFmtId="196" fontId="0" fillId="0" borderId="37" xfId="0" applyNumberFormat="1" applyBorder="1" applyAlignment="1">
      <alignment vertical="center" shrinkToFit="1"/>
    </xf>
    <xf numFmtId="196" fontId="0" fillId="3" borderId="37" xfId="0" applyNumberFormat="1" applyFill="1" applyBorder="1" applyAlignment="1">
      <alignment vertical="center" shrinkToFit="1"/>
    </xf>
    <xf numFmtId="0" fontId="4" fillId="3" borderId="40" xfId="0" applyFont="1" applyFill="1" applyBorder="1" applyAlignment="1">
      <alignment horizontal="left" vertical="center"/>
    </xf>
    <xf numFmtId="194" fontId="0" fillId="15" borderId="37" xfId="0" applyNumberFormat="1" applyFill="1" applyBorder="1" applyAlignment="1">
      <alignment horizontal="center" vertical="center" wrapText="1"/>
    </xf>
    <xf numFmtId="0" fontId="10" fillId="15" borderId="37" xfId="0" applyFont="1" applyFill="1" applyBorder="1" applyAlignment="1">
      <alignment vertical="center" shrinkToFit="1"/>
    </xf>
    <xf numFmtId="0" fontId="52" fillId="15" borderId="1" xfId="0" applyFont="1" applyFill="1" applyBorder="1">
      <alignment vertical="center"/>
    </xf>
    <xf numFmtId="195" fontId="77" fillId="15" borderId="21" xfId="0" applyNumberFormat="1" applyFont="1" applyFill="1" applyBorder="1" applyAlignment="1">
      <alignment horizontal="center" vertical="center" shrinkToFit="1"/>
    </xf>
    <xf numFmtId="38" fontId="10" fillId="15" borderId="37" xfId="2" applyFont="1" applyFill="1" applyBorder="1" applyAlignment="1">
      <alignment vertical="center" shrinkToFit="1"/>
    </xf>
    <xf numFmtId="194" fontId="0" fillId="15" borderId="38" xfId="0" applyNumberFormat="1" applyFill="1" applyBorder="1" applyAlignment="1">
      <alignment horizontal="center" vertical="center" wrapText="1"/>
    </xf>
    <xf numFmtId="38" fontId="10" fillId="15" borderId="38" xfId="2" applyFont="1" applyFill="1" applyBorder="1" applyAlignment="1">
      <alignment vertical="center" shrinkToFit="1"/>
    </xf>
    <xf numFmtId="0" fontId="77" fillId="15" borderId="37" xfId="0" applyFont="1" applyFill="1" applyBorder="1" applyAlignment="1">
      <alignment horizontal="center" vertical="center" shrinkToFit="1"/>
    </xf>
    <xf numFmtId="38" fontId="10" fillId="15" borderId="1" xfId="2" applyFont="1" applyFill="1" applyBorder="1" applyAlignment="1">
      <alignment vertical="center" shrinkToFit="1"/>
    </xf>
    <xf numFmtId="38" fontId="3" fillId="15" borderId="37" xfId="2" applyFont="1" applyFill="1" applyBorder="1" applyAlignment="1">
      <alignment vertical="center" wrapText="1"/>
    </xf>
    <xf numFmtId="38" fontId="10" fillId="15" borderId="37" xfId="2" applyFont="1" applyFill="1" applyBorder="1" applyAlignment="1">
      <alignment vertical="center" wrapText="1"/>
    </xf>
    <xf numFmtId="196" fontId="3" fillId="15" borderId="37" xfId="0" applyNumberFormat="1" applyFont="1" applyFill="1" applyBorder="1" applyAlignment="1">
      <alignment vertical="center" wrapText="1"/>
    </xf>
    <xf numFmtId="195" fontId="77" fillId="15" borderId="42" xfId="0" applyNumberFormat="1" applyFont="1" applyFill="1" applyBorder="1" applyAlignment="1">
      <alignment horizontal="center" vertical="center" shrinkToFit="1"/>
    </xf>
    <xf numFmtId="0" fontId="77" fillId="15" borderId="42" xfId="0" applyFont="1" applyFill="1" applyBorder="1" applyAlignment="1">
      <alignment horizontal="center" vertical="center" shrinkToFit="1"/>
    </xf>
    <xf numFmtId="0" fontId="10" fillId="15" borderId="37" xfId="0" applyFont="1" applyFill="1" applyBorder="1">
      <alignment vertical="center"/>
    </xf>
    <xf numFmtId="0" fontId="10" fillId="15" borderId="37" xfId="0" applyFont="1" applyFill="1" applyBorder="1" applyAlignment="1" applyProtection="1">
      <alignment vertical="center" shrinkToFit="1"/>
      <protection locked="0"/>
    </xf>
    <xf numFmtId="0" fontId="4" fillId="15" borderId="41" xfId="0" applyFont="1" applyFill="1" applyBorder="1" applyAlignment="1">
      <alignment horizontal="left" vertical="top" wrapText="1"/>
    </xf>
    <xf numFmtId="194" fontId="0" fillId="15" borderId="38" xfId="0" applyNumberFormat="1" applyFill="1" applyBorder="1" applyAlignment="1">
      <alignment horizontal="center" vertical="center" shrinkToFit="1"/>
    </xf>
    <xf numFmtId="0" fontId="10" fillId="15" borderId="40" xfId="0" applyFont="1" applyFill="1" applyBorder="1" applyAlignment="1">
      <alignment horizontal="left" vertical="center" wrapText="1"/>
    </xf>
    <xf numFmtId="194" fontId="0" fillId="3" borderId="37" xfId="0" applyNumberFormat="1" applyFill="1" applyBorder="1" applyAlignment="1">
      <alignment horizontal="center" vertical="center" shrinkToFit="1"/>
    </xf>
    <xf numFmtId="0" fontId="11" fillId="0" borderId="77" xfId="0" applyFont="1" applyBorder="1" applyAlignment="1">
      <alignment horizontal="center" vertical="center"/>
    </xf>
    <xf numFmtId="0" fontId="77" fillId="3" borderId="37" xfId="0" applyFont="1" applyFill="1" applyBorder="1" applyAlignment="1">
      <alignment horizontal="center" vertical="center" shrinkToFit="1"/>
    </xf>
    <xf numFmtId="0" fontId="41" fillId="8" borderId="21" xfId="0" applyFont="1" applyFill="1" applyBorder="1" applyAlignment="1">
      <alignment horizontal="center" vertical="center" wrapText="1"/>
    </xf>
    <xf numFmtId="0" fontId="41" fillId="8" borderId="44" xfId="0" applyFont="1" applyFill="1" applyBorder="1" applyAlignment="1">
      <alignment horizontal="left" vertical="center"/>
    </xf>
    <xf numFmtId="0" fontId="41" fillId="8" borderId="39" xfId="0" applyFont="1" applyFill="1" applyBorder="1" applyAlignment="1">
      <alignment horizontal="left" vertical="center"/>
    </xf>
    <xf numFmtId="0" fontId="41" fillId="8" borderId="40" xfId="0" applyFont="1" applyFill="1" applyBorder="1" applyAlignment="1">
      <alignment horizontal="left" vertical="center"/>
    </xf>
    <xf numFmtId="0" fontId="41" fillId="8" borderId="80" xfId="0" applyFont="1" applyFill="1" applyBorder="1" applyAlignment="1">
      <alignment horizontal="center" vertical="center" wrapText="1"/>
    </xf>
    <xf numFmtId="0" fontId="82" fillId="0" borderId="0" xfId="0" applyFont="1">
      <alignment vertical="center"/>
    </xf>
    <xf numFmtId="0" fontId="36" fillId="0" borderId="0" xfId="15" applyFont="1" applyAlignment="1" applyProtection="1">
      <alignment vertical="top"/>
      <protection locked="0"/>
    </xf>
    <xf numFmtId="0" fontId="71"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2" fillId="0" borderId="42" xfId="15" applyFont="1" applyBorder="1" applyAlignment="1" applyProtection="1">
      <alignment horizontal="center" vertical="center" wrapText="1"/>
      <protection locked="0"/>
    </xf>
    <xf numFmtId="0" fontId="28" fillId="0" borderId="7" xfId="0" applyFont="1" applyBorder="1" applyAlignment="1">
      <alignment horizontal="center" vertical="center"/>
    </xf>
    <xf numFmtId="0" fontId="33" fillId="0" borderId="7" xfId="0" applyFont="1" applyBorder="1" applyAlignment="1">
      <alignment horizontal="center" vertical="center"/>
    </xf>
    <xf numFmtId="0" fontId="23" fillId="0" borderId="93" xfId="0" applyFont="1" applyBorder="1" applyAlignment="1">
      <alignment horizontal="center" vertical="top"/>
    </xf>
    <xf numFmtId="0" fontId="8" fillId="0" borderId="93" xfId="0" applyFont="1" applyBorder="1" applyAlignment="1">
      <alignment horizontal="center" vertical="center" wrapText="1"/>
    </xf>
    <xf numFmtId="0" fontId="73" fillId="0" borderId="7" xfId="15" applyFont="1" applyBorder="1" applyAlignment="1" applyProtection="1">
      <alignment horizontal="center" vertical="center"/>
      <protection locked="0"/>
    </xf>
    <xf numFmtId="0" fontId="32" fillId="0" borderId="41" xfId="15" applyFont="1" applyBorder="1" applyAlignment="1" applyProtection="1">
      <alignment horizontal="center" vertical="center"/>
      <protection locked="0"/>
    </xf>
    <xf numFmtId="0" fontId="83" fillId="0" borderId="0" xfId="15" applyFont="1" applyAlignment="1" applyProtection="1">
      <alignment horizontal="right" vertical="top" wrapText="1"/>
      <protection locked="0"/>
    </xf>
    <xf numFmtId="0" fontId="83"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7" xfId="0" applyNumberFormat="1" applyFont="1" applyBorder="1" applyAlignment="1">
      <alignment horizontal="center" vertical="center"/>
    </xf>
    <xf numFmtId="0" fontId="9" fillId="7" borderId="2" xfId="0" applyFont="1" applyFill="1" applyBorder="1" applyAlignment="1">
      <alignment horizontal="right" vertical="center" shrinkToFit="1"/>
    </xf>
    <xf numFmtId="0" fontId="9" fillId="7" borderId="9"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39" xfId="0" applyFont="1" applyFill="1" applyBorder="1">
      <alignment vertical="center"/>
    </xf>
    <xf numFmtId="0" fontId="43" fillId="2" borderId="3" xfId="0" applyFont="1" applyFill="1" applyBorder="1">
      <alignment vertical="center"/>
    </xf>
    <xf numFmtId="0" fontId="43" fillId="2" borderId="7" xfId="0" applyFont="1" applyFill="1" applyBorder="1" applyAlignment="1">
      <alignment vertical="center" wrapText="1"/>
    </xf>
    <xf numFmtId="184" fontId="84" fillId="3" borderId="19" xfId="2" applyNumberFormat="1" applyFont="1" applyFill="1" applyBorder="1" applyAlignment="1">
      <alignment horizontal="right" vertical="center" shrinkToFit="1"/>
    </xf>
    <xf numFmtId="186" fontId="84" fillId="5" borderId="19" xfId="2" applyNumberFormat="1" applyFont="1" applyFill="1" applyBorder="1" applyAlignment="1">
      <alignment horizontal="right" vertical="center" shrinkToFit="1"/>
    </xf>
    <xf numFmtId="187" fontId="84" fillId="5" borderId="20" xfId="0" applyNumberFormat="1" applyFont="1" applyFill="1" applyBorder="1" applyAlignment="1">
      <alignment horizontal="right" vertical="center" shrinkToFit="1"/>
    </xf>
    <xf numFmtId="187" fontId="84" fillId="0" borderId="20" xfId="0" applyNumberFormat="1" applyFont="1" applyBorder="1" applyAlignment="1">
      <alignment horizontal="right" vertical="center" shrinkToFit="1"/>
    </xf>
    <xf numFmtId="0" fontId="43" fillId="0" borderId="0" xfId="0" applyFont="1" applyAlignment="1">
      <alignment vertical="center" textRotation="255"/>
    </xf>
    <xf numFmtId="0" fontId="43" fillId="3" borderId="0" xfId="0" applyFont="1" applyFill="1" applyAlignment="1">
      <alignment horizontal="center" vertical="center"/>
    </xf>
    <xf numFmtId="189" fontId="56" fillId="3" borderId="0" xfId="2" applyNumberFormat="1" applyFont="1" applyFill="1" applyBorder="1" applyAlignment="1">
      <alignment horizontal="right" vertical="center" wrapText="1"/>
    </xf>
    <xf numFmtId="182" fontId="84" fillId="3" borderId="0" xfId="2" applyNumberFormat="1" applyFont="1" applyFill="1" applyBorder="1" applyAlignment="1">
      <alignment horizontal="right" vertical="center" shrinkToFit="1"/>
    </xf>
    <xf numFmtId="0" fontId="43" fillId="2" borderId="7" xfId="0" applyFont="1" applyFill="1" applyBorder="1" applyAlignment="1">
      <alignment horizontal="center" vertical="center" wrapText="1" shrinkToFit="1"/>
    </xf>
    <xf numFmtId="189" fontId="84" fillId="3" borderId="0" xfId="2" applyNumberFormat="1" applyFont="1" applyFill="1" applyBorder="1" applyAlignment="1">
      <alignment horizontal="right" vertical="center" shrinkToFit="1"/>
    </xf>
    <xf numFmtId="0" fontId="43" fillId="2" borderId="2"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43" fillId="0" borderId="0" xfId="0" applyFont="1" applyAlignment="1">
      <alignment horizontal="center" vertical="center" wrapText="1"/>
    </xf>
    <xf numFmtId="0" fontId="8" fillId="0" borderId="34" xfId="0" applyFont="1" applyBorder="1">
      <alignment vertical="center"/>
    </xf>
    <xf numFmtId="0" fontId="86" fillId="0" borderId="0" xfId="0" applyFont="1">
      <alignment vertical="center"/>
    </xf>
    <xf numFmtId="0" fontId="28" fillId="0" borderId="0" xfId="0" applyFont="1">
      <alignment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7" fillId="0" borderId="3" xfId="0" applyFont="1" applyBorder="1" applyAlignment="1">
      <alignment horizontal="center" vertical="center"/>
    </xf>
    <xf numFmtId="0" fontId="87" fillId="0" borderId="0" xfId="0" applyFont="1" applyAlignment="1">
      <alignment horizontal="center" vertical="center"/>
    </xf>
    <xf numFmtId="180" fontId="87" fillId="0" borderId="3"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7" xfId="0" applyBorder="1">
      <alignment vertical="center"/>
    </xf>
    <xf numFmtId="0" fontId="9" fillId="0" borderId="7" xfId="14" applyFont="1" applyBorder="1" applyAlignment="1">
      <alignment vertical="center"/>
    </xf>
    <xf numFmtId="0" fontId="9" fillId="0" borderId="0" xfId="14" applyFont="1" applyAlignment="1">
      <alignment vertical="center"/>
    </xf>
    <xf numFmtId="0" fontId="38" fillId="0" borderId="7" xfId="0" applyFont="1" applyBorder="1" applyAlignment="1">
      <alignment vertical="center" wrapText="1"/>
    </xf>
    <xf numFmtId="0" fontId="38" fillId="0" borderId="0" xfId="0" applyFont="1" applyAlignment="1">
      <alignment vertical="center" wrapText="1"/>
    </xf>
    <xf numFmtId="0" fontId="38" fillId="0" borderId="7" xfId="0" applyFont="1" applyBorder="1">
      <alignment vertical="center"/>
    </xf>
    <xf numFmtId="38" fontId="22" fillId="0" borderId="7"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0" fillId="0" borderId="7" xfId="2" applyFont="1" applyFill="1" applyBorder="1" applyAlignment="1" applyProtection="1">
      <alignment vertical="center" shrinkToFit="1"/>
    </xf>
    <xf numFmtId="0" fontId="44" fillId="0" borderId="0" xfId="0" applyFont="1" applyAlignment="1">
      <alignment vertical="center" shrinkToFit="1"/>
    </xf>
    <xf numFmtId="3" fontId="60" fillId="0" borderId="7" xfId="0" applyNumberFormat="1" applyFont="1" applyBorder="1" applyAlignment="1">
      <alignment vertical="center" shrinkToFit="1"/>
    </xf>
    <xf numFmtId="0" fontId="47" fillId="0" borderId="37" xfId="0" applyFont="1" applyBorder="1" applyAlignment="1">
      <alignment vertical="top" textRotation="255" wrapText="1"/>
    </xf>
    <xf numFmtId="0" fontId="9" fillId="0" borderId="37" xfId="0" applyFont="1" applyBorder="1" applyAlignment="1">
      <alignment horizontal="left" vertical="top" wrapText="1"/>
    </xf>
    <xf numFmtId="0" fontId="26" fillId="0" borderId="37" xfId="0" applyFont="1" applyBorder="1" applyAlignment="1">
      <alignment horizontal="center" vertical="top" textRotation="255" wrapText="1"/>
    </xf>
    <xf numFmtId="0" fontId="9" fillId="0" borderId="37" xfId="0" applyFont="1" applyBorder="1" applyAlignment="1">
      <alignment horizontal="center" vertical="top" wrapText="1"/>
    </xf>
    <xf numFmtId="0" fontId="9" fillId="0" borderId="38"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03" xfId="6" applyFont="1" applyBorder="1" applyAlignment="1">
      <alignment horizontal="center" vertical="center"/>
    </xf>
    <xf numFmtId="0" fontId="9" fillId="0" borderId="103" xfId="6" applyFont="1" applyBorder="1">
      <alignment vertical="center"/>
    </xf>
    <xf numFmtId="0" fontId="9" fillId="0" borderId="104" xfId="6" applyFont="1" applyBorder="1">
      <alignment vertical="center"/>
    </xf>
    <xf numFmtId="0" fontId="9" fillId="0" borderId="77" xfId="6" applyFont="1" applyBorder="1">
      <alignment vertical="center"/>
    </xf>
    <xf numFmtId="0" fontId="9" fillId="0" borderId="37" xfId="6" applyFont="1" applyBorder="1" applyAlignment="1">
      <alignment horizontal="center" vertical="center"/>
    </xf>
    <xf numFmtId="0" fontId="37" fillId="0" borderId="77"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77"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57" xfId="0" applyFont="1" applyFill="1" applyBorder="1" applyAlignment="1">
      <alignment vertical="center" shrinkToFit="1"/>
    </xf>
    <xf numFmtId="0" fontId="17" fillId="7" borderId="37" xfId="0" applyFont="1" applyFill="1" applyBorder="1" applyAlignment="1">
      <alignment vertical="center" shrinkToFit="1"/>
    </xf>
    <xf numFmtId="0" fontId="17" fillId="7" borderId="37" xfId="0" applyFont="1" applyFill="1" applyBorder="1" applyAlignment="1">
      <alignment horizontal="center" vertical="center" shrinkToFit="1"/>
    </xf>
    <xf numFmtId="38" fontId="17" fillId="7" borderId="37" xfId="2" applyFont="1" applyFill="1" applyBorder="1" applyAlignment="1" applyProtection="1">
      <alignment vertical="center" shrinkToFit="1"/>
    </xf>
    <xf numFmtId="0" fontId="17" fillId="7" borderId="38" xfId="0" applyFont="1" applyFill="1" applyBorder="1" applyAlignment="1">
      <alignment horizontal="left" vertical="center" shrinkToFit="1"/>
    </xf>
    <xf numFmtId="38" fontId="17" fillId="5" borderId="38" xfId="2" applyFont="1" applyFill="1" applyBorder="1" applyAlignment="1" applyProtection="1">
      <alignment horizontal="right" vertical="center" shrinkToFit="1"/>
    </xf>
    <xf numFmtId="0" fontId="17" fillId="7" borderId="38" xfId="0" applyFont="1" applyFill="1" applyBorder="1" applyAlignment="1">
      <alignment horizontal="center" vertical="center" shrinkToFit="1"/>
    </xf>
    <xf numFmtId="0" fontId="19" fillId="7" borderId="8" xfId="0" applyFont="1" applyFill="1" applyBorder="1" applyAlignment="1">
      <alignment horizontal="center" vertical="center" shrinkToFit="1"/>
    </xf>
    <xf numFmtId="0" fontId="92" fillId="7" borderId="35" xfId="0" applyFont="1" applyFill="1" applyBorder="1" applyAlignment="1">
      <alignment horizontal="center" vertical="center" shrinkToFit="1"/>
    </xf>
    <xf numFmtId="0" fontId="92" fillId="7" borderId="35" xfId="0" applyFont="1" applyFill="1" applyBorder="1" applyAlignment="1">
      <alignment horizontal="left" vertical="center" shrinkToFit="1"/>
    </xf>
    <xf numFmtId="0" fontId="92" fillId="7" borderId="69" xfId="0" applyFont="1" applyFill="1" applyBorder="1" applyAlignment="1">
      <alignment horizontal="center" vertical="center" wrapText="1"/>
    </xf>
    <xf numFmtId="0" fontId="92" fillId="7" borderId="35" xfId="0" applyFont="1" applyFill="1" applyBorder="1" applyAlignment="1">
      <alignment horizontal="center" vertical="center" wrapText="1"/>
    </xf>
    <xf numFmtId="0" fontId="96" fillId="3" borderId="39" xfId="0" applyFont="1" applyFill="1" applyBorder="1" applyAlignment="1">
      <alignment horizontal="center" vertical="center" wrapText="1"/>
    </xf>
    <xf numFmtId="38" fontId="98" fillId="5" borderId="68" xfId="2" applyFont="1" applyFill="1" applyBorder="1" applyAlignment="1" applyProtection="1">
      <alignment horizontal="right" vertical="center" shrinkToFit="1"/>
    </xf>
    <xf numFmtId="38" fontId="98" fillId="5" borderId="69" xfId="2" applyFont="1" applyFill="1" applyBorder="1" applyAlignment="1" applyProtection="1">
      <alignment horizontal="right" vertical="center" shrinkToFit="1"/>
    </xf>
    <xf numFmtId="38" fontId="98" fillId="5" borderId="89" xfId="2" applyFont="1" applyFill="1" applyBorder="1" applyAlignment="1" applyProtection="1">
      <alignment horizontal="right" vertical="center" shrinkToFit="1"/>
    </xf>
    <xf numFmtId="38" fontId="98" fillId="5" borderId="81" xfId="2" applyFont="1" applyFill="1" applyBorder="1" applyAlignment="1" applyProtection="1">
      <alignment horizontal="right" vertical="center" shrinkToFit="1"/>
    </xf>
    <xf numFmtId="38" fontId="98" fillId="5" borderId="35" xfId="2" applyFont="1" applyFill="1" applyBorder="1" applyAlignment="1" applyProtection="1">
      <alignment horizontal="right" vertical="center" shrinkToFit="1"/>
    </xf>
    <xf numFmtId="38" fontId="98" fillId="5" borderId="91" xfId="2" applyFont="1" applyFill="1" applyBorder="1" applyAlignment="1" applyProtection="1">
      <alignment horizontal="right" vertical="center" shrinkToFit="1"/>
    </xf>
    <xf numFmtId="38" fontId="98" fillId="5" borderId="63" xfId="2" applyFont="1" applyFill="1" applyBorder="1" applyAlignment="1" applyProtection="1">
      <alignment horizontal="right" vertical="center" shrinkToFit="1"/>
    </xf>
    <xf numFmtId="38" fontId="99" fillId="5" borderId="63" xfId="2" applyFont="1" applyFill="1" applyBorder="1" applyAlignment="1" applyProtection="1">
      <alignment horizontal="left" vertical="center" shrinkToFit="1"/>
    </xf>
    <xf numFmtId="38" fontId="99" fillId="5" borderId="35" xfId="2" applyFont="1" applyFill="1" applyBorder="1" applyAlignment="1" applyProtection="1">
      <alignment horizontal="left" vertical="center" shrinkToFit="1"/>
    </xf>
    <xf numFmtId="38" fontId="99" fillId="5" borderId="82" xfId="2" applyFont="1" applyFill="1" applyBorder="1" applyAlignment="1" applyProtection="1">
      <alignment horizontal="left" vertical="center" shrinkToFit="1"/>
    </xf>
    <xf numFmtId="38" fontId="98" fillId="5" borderId="86" xfId="2" applyFont="1" applyFill="1" applyBorder="1" applyAlignment="1" applyProtection="1">
      <alignment horizontal="right" vertical="center" shrinkToFit="1"/>
    </xf>
    <xf numFmtId="38" fontId="98" fillId="5" borderId="87" xfId="2" applyFont="1" applyFill="1" applyBorder="1" applyAlignment="1" applyProtection="1">
      <alignment horizontal="right" vertical="center" shrinkToFit="1"/>
    </xf>
    <xf numFmtId="38" fontId="98" fillId="5" borderId="90" xfId="2" applyFont="1" applyFill="1" applyBorder="1" applyAlignment="1" applyProtection="1">
      <alignment horizontal="right" vertical="center" shrinkToFit="1"/>
    </xf>
    <xf numFmtId="38" fontId="98" fillId="5" borderId="88" xfId="2" applyFont="1" applyFill="1" applyBorder="1" applyAlignment="1" applyProtection="1">
      <alignment horizontal="right" vertical="center" shrinkToFit="1"/>
    </xf>
    <xf numFmtId="38" fontId="100" fillId="5" borderId="37" xfId="2" applyFont="1" applyFill="1" applyBorder="1" applyAlignment="1" applyProtection="1">
      <alignment horizontal="center" vertical="center" shrinkToFit="1"/>
    </xf>
    <xf numFmtId="0" fontId="100" fillId="5" borderId="37" xfId="0" applyFont="1" applyFill="1" applyBorder="1" applyAlignment="1">
      <alignment horizontal="center" vertical="center" shrinkToFit="1"/>
    </xf>
    <xf numFmtId="0" fontId="97" fillId="5" borderId="37" xfId="0" applyFont="1" applyFill="1" applyBorder="1" applyAlignment="1">
      <alignment horizontal="center" vertical="center" shrinkToFit="1"/>
    </xf>
    <xf numFmtId="0" fontId="96" fillId="7" borderId="37" xfId="0" applyFont="1" applyFill="1" applyBorder="1" applyAlignment="1">
      <alignment horizontal="left" vertical="center" wrapText="1"/>
    </xf>
    <xf numFmtId="3" fontId="101" fillId="7" borderId="0" xfId="0" applyNumberFormat="1" applyFont="1" applyFill="1">
      <alignment vertical="center"/>
    </xf>
    <xf numFmtId="38" fontId="98" fillId="0" borderId="69" xfId="2" applyFont="1" applyFill="1" applyBorder="1" applyAlignment="1" applyProtection="1">
      <alignment horizontal="left" vertical="center" wrapText="1"/>
    </xf>
    <xf numFmtId="38" fontId="98" fillId="0" borderId="35" xfId="2" applyFont="1" applyFill="1" applyBorder="1" applyAlignment="1" applyProtection="1">
      <alignment horizontal="left" vertical="center" wrapText="1"/>
    </xf>
    <xf numFmtId="38" fontId="91" fillId="0" borderId="35" xfId="2" applyFont="1" applyFill="1" applyBorder="1" applyAlignment="1" applyProtection="1">
      <alignment horizontal="left" vertical="center" wrapText="1"/>
    </xf>
    <xf numFmtId="38" fontId="98" fillId="0" borderId="87" xfId="2" applyFont="1" applyFill="1" applyBorder="1" applyAlignment="1" applyProtection="1">
      <alignment horizontal="right" vertical="center" shrinkToFit="1"/>
    </xf>
    <xf numFmtId="38" fontId="99" fillId="0" borderId="35" xfId="2" applyFont="1" applyFill="1" applyBorder="1" applyAlignment="1" applyProtection="1">
      <alignment horizontal="left" vertical="center" wrapText="1"/>
    </xf>
    <xf numFmtId="38" fontId="98" fillId="0" borderId="84" xfId="2" applyFont="1" applyFill="1" applyBorder="1" applyAlignment="1" applyProtection="1">
      <alignment horizontal="right" vertical="center" shrinkToFit="1"/>
    </xf>
    <xf numFmtId="0" fontId="9" fillId="0" borderId="107" xfId="6" applyFont="1" applyBorder="1" applyAlignment="1">
      <alignment horizontal="right" vertical="center"/>
    </xf>
    <xf numFmtId="0" fontId="9" fillId="0" borderId="38" xfId="6" applyFont="1" applyBorder="1" applyAlignment="1">
      <alignment horizontal="right" vertical="center"/>
    </xf>
    <xf numFmtId="0" fontId="9" fillId="0" borderId="108" xfId="6" applyFont="1" applyBorder="1" applyAlignment="1">
      <alignment horizontal="left" vertical="center"/>
    </xf>
    <xf numFmtId="0" fontId="9" fillId="0" borderId="40" xfId="6" applyFont="1" applyBorder="1" applyAlignment="1">
      <alignment horizontal="left" vertical="center"/>
    </xf>
    <xf numFmtId="184" fontId="91" fillId="5" borderId="6" xfId="2" applyNumberFormat="1" applyFont="1" applyFill="1" applyBorder="1" applyAlignment="1">
      <alignment horizontal="left" vertical="top" wrapText="1"/>
    </xf>
    <xf numFmtId="194" fontId="0" fillId="15" borderId="37" xfId="0" applyNumberFormat="1" applyFill="1" applyBorder="1" applyAlignment="1">
      <alignment horizontal="center" vertical="center" shrinkToFit="1"/>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1"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Alignment="1">
      <alignment horizontal="left" vertical="center"/>
    </xf>
    <xf numFmtId="0" fontId="11" fillId="0" borderId="1" xfId="0" applyFont="1" applyBorder="1">
      <alignment vertical="center"/>
    </xf>
    <xf numFmtId="0" fontId="9" fillId="0" borderId="0" xfId="14" applyFont="1"/>
    <xf numFmtId="0" fontId="0" fillId="13" borderId="0" xfId="0" applyFill="1">
      <alignment vertical="center"/>
    </xf>
    <xf numFmtId="0" fontId="4" fillId="0" borderId="3" xfId="0" applyFont="1" applyBorder="1" applyAlignment="1">
      <alignment horizontal="center" vertical="center" wrapText="1"/>
    </xf>
    <xf numFmtId="38" fontId="10" fillId="15" borderId="37" xfId="0" applyNumberFormat="1" applyFont="1" applyFill="1" applyBorder="1" applyAlignment="1">
      <alignment vertical="center" shrinkToFit="1"/>
    </xf>
    <xf numFmtId="0" fontId="0" fillId="0" borderId="40" xfId="0" applyBorder="1" applyAlignment="1">
      <alignment vertical="center" wrapText="1"/>
    </xf>
    <xf numFmtId="0" fontId="81" fillId="0" borderId="38" xfId="0" applyFont="1" applyBorder="1">
      <alignment vertical="center"/>
    </xf>
    <xf numFmtId="0" fontId="0" fillId="0" borderId="38" xfId="0" applyBorder="1">
      <alignment vertical="center"/>
    </xf>
    <xf numFmtId="0" fontId="0" fillId="0" borderId="39" xfId="0" applyBorder="1">
      <alignment vertical="center"/>
    </xf>
    <xf numFmtId="38" fontId="10" fillId="13" borderId="37" xfId="2" applyFont="1" applyFill="1" applyBorder="1" applyAlignment="1">
      <alignment vertical="center" wrapText="1"/>
    </xf>
    <xf numFmtId="0" fontId="81" fillId="0" borderId="7" xfId="0" applyFont="1" applyBorder="1">
      <alignment vertical="center"/>
    </xf>
    <xf numFmtId="0" fontId="81" fillId="0" borderId="0" xfId="0" applyFont="1">
      <alignment vertical="center"/>
    </xf>
    <xf numFmtId="0" fontId="81" fillId="0" borderId="37" xfId="0" applyFont="1" applyBorder="1" applyAlignment="1">
      <alignment horizontal="left" vertical="center" shrinkToFit="1"/>
    </xf>
    <xf numFmtId="0" fontId="10" fillId="15" borderId="39" xfId="0" applyFont="1" applyFill="1" applyBorder="1" applyAlignment="1">
      <alignment horizontal="left" vertical="center" wrapText="1"/>
    </xf>
    <xf numFmtId="58" fontId="8" fillId="0" borderId="0" xfId="0" applyNumberFormat="1" applyFont="1" applyAlignment="1">
      <alignment horizontal="right"/>
    </xf>
    <xf numFmtId="202" fontId="8" fillId="0" borderId="0" xfId="14" applyNumberFormat="1" applyFont="1"/>
    <xf numFmtId="0" fontId="8" fillId="0" borderId="0" xfId="14" applyFont="1" applyAlignment="1">
      <alignment horizontal="left"/>
    </xf>
    <xf numFmtId="0" fontId="8" fillId="0" borderId="0" xfId="14" applyFont="1"/>
    <xf numFmtId="0" fontId="107"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10"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0" fontId="23" fillId="7" borderId="0" xfId="0" applyFont="1" applyFill="1" applyAlignment="1">
      <alignment horizontal="center" vertical="center"/>
    </xf>
    <xf numFmtId="0" fontId="23" fillId="5" borderId="37" xfId="0" applyFont="1" applyFill="1" applyBorder="1" applyAlignment="1">
      <alignment horizontal="center" vertical="center"/>
    </xf>
    <xf numFmtId="0" fontId="93" fillId="0" borderId="0" xfId="0" applyFont="1">
      <alignment vertical="center"/>
    </xf>
    <xf numFmtId="0" fontId="9" fillId="0" borderId="8" xfId="0" applyFont="1" applyBorder="1">
      <alignment vertical="center"/>
    </xf>
    <xf numFmtId="0" fontId="96" fillId="16" borderId="37" xfId="0" applyFont="1" applyFill="1" applyBorder="1" applyAlignment="1">
      <alignment horizontal="center" vertical="center" shrinkToFit="1"/>
    </xf>
    <xf numFmtId="0" fontId="23" fillId="16" borderId="37" xfId="0" applyFont="1" applyFill="1" applyBorder="1" applyAlignment="1">
      <alignment horizontal="center" vertical="center"/>
    </xf>
    <xf numFmtId="0" fontId="23" fillId="16" borderId="0" xfId="0" applyFont="1" applyFill="1" applyAlignment="1">
      <alignment horizontal="center" vertical="center"/>
    </xf>
    <xf numFmtId="0" fontId="9" fillId="0" borderId="57" xfId="0" applyFont="1" applyBorder="1" applyAlignment="1">
      <alignment horizontal="center" vertical="top" textRotation="255" wrapText="1"/>
    </xf>
    <xf numFmtId="0" fontId="9" fillId="0" borderId="37" xfId="0" applyFont="1" applyBorder="1" applyAlignment="1">
      <alignment horizontal="center" vertical="top" textRotation="255" wrapText="1"/>
    </xf>
    <xf numFmtId="0" fontId="9" fillId="0" borderId="37" xfId="0" applyFont="1" applyBorder="1" applyAlignment="1">
      <alignment vertical="top" textRotation="255" wrapText="1"/>
    </xf>
    <xf numFmtId="0" fontId="43" fillId="9" borderId="137" xfId="0" applyFont="1" applyFill="1" applyBorder="1" applyAlignment="1">
      <alignment horizontal="center" vertical="top" wrapText="1"/>
    </xf>
    <xf numFmtId="0" fontId="15" fillId="9" borderId="138" xfId="0" applyFont="1" applyFill="1" applyBorder="1" applyAlignment="1">
      <alignment horizontal="left" vertical="center" shrinkToFit="1"/>
    </xf>
    <xf numFmtId="0" fontId="70" fillId="3" borderId="139" xfId="0" applyFont="1" applyFill="1" applyBorder="1" applyAlignment="1">
      <alignment horizontal="center" vertical="center" wrapText="1"/>
    </xf>
    <xf numFmtId="0" fontId="8" fillId="8" borderId="37" xfId="0" applyFont="1" applyFill="1" applyBorder="1" applyAlignment="1">
      <alignment horizontal="left" vertical="center"/>
    </xf>
    <xf numFmtId="0" fontId="8" fillId="0" borderId="0" xfId="0" applyFont="1" applyAlignment="1">
      <alignment horizontal="left"/>
    </xf>
    <xf numFmtId="184" fontId="47" fillId="0" borderId="6" xfId="2" applyNumberFormat="1" applyFont="1" applyFill="1" applyBorder="1" applyAlignment="1">
      <alignment horizontal="center" vertical="center" textRotation="255" shrinkToFit="1"/>
    </xf>
    <xf numFmtId="0" fontId="9" fillId="16" borderId="2" xfId="0" applyFont="1" applyFill="1" applyBorder="1" applyAlignment="1">
      <alignment horizontal="right" vertical="center" shrinkToFit="1"/>
    </xf>
    <xf numFmtId="0" fontId="19" fillId="16" borderId="8" xfId="0" applyFont="1" applyFill="1" applyBorder="1" applyAlignment="1">
      <alignment horizontal="center" vertical="center" shrinkToFit="1"/>
    </xf>
    <xf numFmtId="0" fontId="9" fillId="16" borderId="9" xfId="0" applyFont="1" applyFill="1" applyBorder="1" applyAlignment="1">
      <alignment horizontal="left" vertical="center" shrinkToFit="1"/>
    </xf>
    <xf numFmtId="0" fontId="0" fillId="0" borderId="0" xfId="0" applyAlignment="1">
      <alignment horizontal="center" vertical="center"/>
    </xf>
    <xf numFmtId="0" fontId="93" fillId="0" borderId="0" xfId="0" applyFont="1" applyAlignment="1">
      <alignment horizontal="center" vertical="center"/>
    </xf>
    <xf numFmtId="0" fontId="0" fillId="0" borderId="0" xfId="0" applyAlignment="1">
      <alignment vertical="center" wrapText="1"/>
    </xf>
    <xf numFmtId="0" fontId="114" fillId="0" borderId="0" xfId="0" applyFont="1" applyAlignment="1">
      <alignment horizontal="center" vertical="center"/>
    </xf>
    <xf numFmtId="0" fontId="114" fillId="0" borderId="39" xfId="0" applyFont="1" applyBorder="1">
      <alignment vertical="center"/>
    </xf>
    <xf numFmtId="0" fontId="0" fillId="0" borderId="39" xfId="0" applyBorder="1" applyAlignment="1">
      <alignment vertical="center" wrapText="1"/>
    </xf>
    <xf numFmtId="0" fontId="16" fillId="0" borderId="39" xfId="0" applyFont="1" applyBorder="1" applyAlignment="1">
      <alignment vertical="center" wrapText="1"/>
    </xf>
    <xf numFmtId="0" fontId="96" fillId="16" borderId="0" xfId="0" applyFont="1" applyFill="1" applyAlignment="1">
      <alignment horizontal="center" vertical="center"/>
    </xf>
    <xf numFmtId="0" fontId="96" fillId="16" borderId="3" xfId="0" applyFont="1" applyFill="1" applyBorder="1" applyAlignment="1">
      <alignment horizontal="center" vertical="center"/>
    </xf>
    <xf numFmtId="0" fontId="16" fillId="3" borderId="140" xfId="0" applyFont="1" applyFill="1" applyBorder="1">
      <alignment vertical="center"/>
    </xf>
    <xf numFmtId="0" fontId="16" fillId="3" borderId="133" xfId="0" applyFont="1" applyFill="1" applyBorder="1">
      <alignment vertical="center"/>
    </xf>
    <xf numFmtId="0" fontId="16" fillId="3" borderId="141" xfId="0" applyFont="1" applyFill="1" applyBorder="1">
      <alignment vertical="center"/>
    </xf>
    <xf numFmtId="0" fontId="16" fillId="3" borderId="142" xfId="0" applyFont="1" applyFill="1" applyBorder="1">
      <alignment vertical="center"/>
    </xf>
    <xf numFmtId="204" fontId="10" fillId="15" borderId="37" xfId="2" applyNumberFormat="1" applyFont="1" applyFill="1" applyBorder="1" applyAlignment="1">
      <alignment vertical="center" shrinkToFit="1"/>
    </xf>
    <xf numFmtId="204" fontId="74" fillId="0" borderId="0" xfId="2" applyNumberFormat="1" applyFont="1" applyAlignment="1">
      <alignment vertical="center" shrinkToFit="1"/>
    </xf>
    <xf numFmtId="0" fontId="9" fillId="0" borderId="38" xfId="6" applyFont="1" applyBorder="1">
      <alignment vertical="center"/>
    </xf>
    <xf numFmtId="0" fontId="9" fillId="0" borderId="40" xfId="6" applyFont="1" applyBorder="1">
      <alignment vertical="center"/>
    </xf>
    <xf numFmtId="0" fontId="9" fillId="0" borderId="37" xfId="6" applyFont="1" applyBorder="1">
      <alignment vertical="center"/>
    </xf>
    <xf numFmtId="0" fontId="4" fillId="0" borderId="0" xfId="0" applyFont="1" applyAlignment="1">
      <alignment vertical="center" wrapText="1"/>
    </xf>
    <xf numFmtId="0" fontId="4" fillId="13" borderId="3" xfId="0" applyFont="1" applyFill="1" applyBorder="1" applyAlignment="1">
      <alignmen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1" fillId="0" borderId="4" xfId="0" applyFont="1" applyBorder="1">
      <alignment vertical="center"/>
    </xf>
    <xf numFmtId="0" fontId="5" fillId="0" borderId="37" xfId="0" applyFont="1" applyBorder="1" applyAlignment="1">
      <alignment horizontal="left" vertical="center" wrapText="1"/>
    </xf>
    <xf numFmtId="0" fontId="5" fillId="0" borderId="4" xfId="0" applyFont="1" applyBorder="1" applyAlignment="1">
      <alignment horizontal="center" vertical="center"/>
    </xf>
    <xf numFmtId="0" fontId="5" fillId="2" borderId="37" xfId="0" applyFont="1" applyFill="1" applyBorder="1" applyAlignment="1">
      <alignment horizontal="center" vertical="center" shrinkToFit="1"/>
    </xf>
    <xf numFmtId="0" fontId="11" fillId="0" borderId="6" xfId="0" applyFont="1" applyBorder="1">
      <alignment vertical="center"/>
    </xf>
    <xf numFmtId="0" fontId="11" fillId="0" borderId="7" xfId="0" applyFont="1" applyBorder="1">
      <alignment vertical="center"/>
    </xf>
    <xf numFmtId="0" fontId="11" fillId="0" borderId="2" xfId="0" applyFont="1" applyBorder="1">
      <alignment vertical="center"/>
    </xf>
    <xf numFmtId="0" fontId="120" fillId="11" borderId="37" xfId="0" applyFont="1" applyFill="1" applyBorder="1" applyAlignment="1">
      <alignment horizontal="center" vertical="center"/>
    </xf>
    <xf numFmtId="0" fontId="7" fillId="0" borderId="0" xfId="0" applyFont="1">
      <alignment vertical="center"/>
    </xf>
    <xf numFmtId="0" fontId="54" fillId="0" borderId="0" xfId="0" applyFont="1" applyAlignment="1">
      <alignment vertical="center" wrapText="1"/>
    </xf>
    <xf numFmtId="0" fontId="13" fillId="0" borderId="0" xfId="0" applyFont="1" applyAlignment="1">
      <alignment vertical="center" wrapText="1"/>
    </xf>
    <xf numFmtId="38" fontId="0" fillId="16" borderId="37" xfId="2" applyFont="1" applyFill="1" applyBorder="1">
      <alignment vertical="center"/>
    </xf>
    <xf numFmtId="0" fontId="122" fillId="0" borderId="37" xfId="18" applyFont="1" applyFill="1" applyBorder="1" applyAlignment="1">
      <alignment horizontal="left" vertical="center"/>
    </xf>
    <xf numFmtId="0" fontId="122" fillId="0" borderId="37" xfId="18" applyFont="1" applyBorder="1" applyAlignment="1">
      <alignment vertical="center" wrapText="1"/>
    </xf>
    <xf numFmtId="0" fontId="122" fillId="17" borderId="1" xfId="18" applyFont="1" applyFill="1" applyBorder="1" applyAlignment="1">
      <alignment vertical="center" wrapText="1"/>
    </xf>
    <xf numFmtId="0" fontId="122" fillId="0" borderId="42" xfId="18" applyFont="1" applyBorder="1">
      <alignment vertical="center"/>
    </xf>
    <xf numFmtId="0" fontId="122" fillId="0" borderId="37" xfId="18" applyFont="1" applyBorder="1">
      <alignment vertical="center"/>
    </xf>
    <xf numFmtId="0" fontId="122" fillId="0" borderId="37" xfId="18" applyFont="1" applyBorder="1" applyAlignment="1">
      <alignment vertical="center"/>
    </xf>
    <xf numFmtId="0" fontId="0" fillId="0" borderId="40" xfId="0" applyBorder="1" applyAlignment="1">
      <alignment vertical="center" shrinkToFit="1"/>
    </xf>
    <xf numFmtId="0" fontId="78" fillId="0" borderId="39" xfId="0" applyFont="1" applyBorder="1" applyAlignment="1">
      <alignment horizontal="left" vertical="center"/>
    </xf>
    <xf numFmtId="0" fontId="75" fillId="0" borderId="38" xfId="0" applyFont="1" applyBorder="1" applyAlignment="1">
      <alignment horizontal="left" vertical="center"/>
    </xf>
    <xf numFmtId="0" fontId="0" fillId="14" borderId="3" xfId="0" applyFill="1" applyBorder="1" applyAlignment="1">
      <alignment vertical="center" wrapText="1"/>
    </xf>
    <xf numFmtId="194" fontId="0" fillId="0" borderId="37" xfId="0" applyNumberFormat="1" applyBorder="1" applyAlignment="1">
      <alignment horizontal="center" vertical="center" wrapText="1"/>
    </xf>
    <xf numFmtId="194" fontId="0" fillId="14" borderId="37" xfId="0" applyNumberFormat="1" applyFill="1" applyBorder="1" applyAlignment="1">
      <alignment horizontal="center" vertical="center" wrapText="1"/>
    </xf>
    <xf numFmtId="194" fontId="0" fillId="13" borderId="37" xfId="0" applyNumberFormat="1" applyFill="1" applyBorder="1" applyAlignment="1">
      <alignment horizontal="center" vertical="center" wrapText="1"/>
    </xf>
    <xf numFmtId="194" fontId="0" fillId="0" borderId="38" xfId="0" applyNumberFormat="1" applyBorder="1" applyAlignment="1">
      <alignment horizontal="center" vertical="center" wrapText="1"/>
    </xf>
    <xf numFmtId="194" fontId="0" fillId="0" borderId="38" xfId="0" applyNumberFormat="1" applyBorder="1" applyAlignment="1">
      <alignment horizontal="center" vertical="center" shrinkToFit="1"/>
    </xf>
    <xf numFmtId="194" fontId="0" fillId="13" borderId="38" xfId="0" applyNumberFormat="1" applyFill="1" applyBorder="1" applyAlignment="1">
      <alignment horizontal="center" vertical="center" shrinkToFit="1"/>
    </xf>
    <xf numFmtId="194" fontId="0" fillId="0" borderId="37" xfId="0" applyNumberFormat="1" applyBorder="1" applyAlignment="1">
      <alignment horizontal="center" vertical="center" shrinkToFit="1"/>
    </xf>
    <xf numFmtId="195" fontId="77" fillId="14" borderId="21" xfId="0" applyNumberFormat="1" applyFont="1" applyFill="1" applyBorder="1" applyAlignment="1">
      <alignment horizontal="center" vertical="center" shrinkToFit="1"/>
    </xf>
    <xf numFmtId="195" fontId="77" fillId="0" borderId="21" xfId="0" applyNumberFormat="1" applyFont="1" applyBorder="1" applyAlignment="1">
      <alignment horizontal="center" vertical="center" shrinkToFit="1"/>
    </xf>
    <xf numFmtId="195" fontId="77" fillId="14" borderId="37" xfId="0" applyNumberFormat="1" applyFont="1" applyFill="1" applyBorder="1" applyAlignment="1">
      <alignment horizontal="center" vertical="center" shrinkToFit="1"/>
    </xf>
    <xf numFmtId="195" fontId="77" fillId="13" borderId="42" xfId="0" applyNumberFormat="1" applyFont="1" applyFill="1" applyBorder="1" applyAlignment="1">
      <alignment horizontal="center" vertical="center" shrinkToFit="1"/>
    </xf>
    <xf numFmtId="194" fontId="0" fillId="3" borderId="37" xfId="0" applyNumberFormat="1" applyFill="1" applyBorder="1" applyAlignment="1">
      <alignment horizontal="center" vertical="center" wrapText="1"/>
    </xf>
    <xf numFmtId="194" fontId="0" fillId="14" borderId="38" xfId="0" applyNumberFormat="1" applyFill="1" applyBorder="1" applyAlignment="1">
      <alignment horizontal="center" vertical="center" wrapText="1"/>
    </xf>
    <xf numFmtId="195" fontId="77" fillId="14" borderId="80"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79" fillId="0" borderId="39" xfId="0" applyFont="1" applyBorder="1" applyAlignment="1">
      <alignment horizontal="left" vertical="center"/>
    </xf>
    <xf numFmtId="0" fontId="74" fillId="0" borderId="0" xfId="0" applyFont="1" applyAlignment="1">
      <alignment vertical="center" shrinkToFit="1"/>
    </xf>
    <xf numFmtId="38" fontId="74" fillId="0" borderId="0" xfId="2" applyFont="1" applyAlignment="1">
      <alignment vertical="center" shrinkToFit="1"/>
    </xf>
    <xf numFmtId="0" fontId="74" fillId="0" borderId="0" xfId="0" applyFont="1">
      <alignment vertical="center"/>
    </xf>
    <xf numFmtId="191" fontId="74" fillId="0" borderId="0" xfId="1" applyNumberFormat="1" applyFont="1" applyAlignment="1">
      <alignment vertical="center" shrinkToFit="1"/>
    </xf>
    <xf numFmtId="195" fontId="77" fillId="3" borderId="21" xfId="0" applyNumberFormat="1" applyFont="1" applyFill="1" applyBorder="1" applyAlignment="1">
      <alignment horizontal="center" vertical="center" shrinkToFit="1"/>
    </xf>
    <xf numFmtId="195" fontId="77" fillId="13" borderId="21"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37" xfId="0" applyNumberFormat="1" applyFill="1" applyBorder="1" applyAlignment="1">
      <alignment horizontal="center" vertical="center" shrinkToFit="1"/>
    </xf>
    <xf numFmtId="0" fontId="77" fillId="0" borderId="0" xfId="0" applyFont="1" applyAlignment="1">
      <alignment horizontal="center" vertical="center" shrinkToFit="1"/>
    </xf>
    <xf numFmtId="0" fontId="52" fillId="0" borderId="37" xfId="16" applyFont="1" applyBorder="1" applyAlignment="1">
      <alignment vertical="center" shrinkToFit="1"/>
    </xf>
    <xf numFmtId="0" fontId="10" fillId="13" borderId="37" xfId="0" applyFont="1" applyFill="1" applyBorder="1" applyAlignment="1">
      <alignment vertical="center" shrinkToFit="1"/>
    </xf>
    <xf numFmtId="0" fontId="10" fillId="14" borderId="37" xfId="0" applyFont="1" applyFill="1" applyBorder="1" applyAlignment="1">
      <alignment vertical="center" shrinkToFit="1"/>
    </xf>
    <xf numFmtId="0" fontId="10" fillId="0" borderId="37" xfId="0" applyFont="1" applyBorder="1" applyAlignment="1">
      <alignment vertical="center" shrinkToFit="1"/>
    </xf>
    <xf numFmtId="38" fontId="10" fillId="0" borderId="37" xfId="2" applyFont="1" applyFill="1" applyBorder="1" applyAlignment="1">
      <alignment vertical="center" shrinkToFit="1"/>
    </xf>
    <xf numFmtId="38" fontId="10" fillId="0" borderId="37" xfId="2" applyFont="1" applyBorder="1" applyAlignment="1">
      <alignment vertical="center" shrinkToFit="1"/>
    </xf>
    <xf numFmtId="38" fontId="10" fillId="13" borderId="37" xfId="2" applyFont="1" applyFill="1" applyBorder="1" applyAlignment="1">
      <alignment vertical="center" shrinkToFit="1"/>
    </xf>
    <xf numFmtId="191" fontId="10" fillId="14" borderId="37" xfId="0" applyNumberFormat="1" applyFont="1" applyFill="1" applyBorder="1" applyAlignment="1">
      <alignment vertical="center" shrinkToFit="1"/>
    </xf>
    <xf numFmtId="38" fontId="10" fillId="14" borderId="37" xfId="2" applyFont="1" applyFill="1" applyBorder="1" applyAlignment="1">
      <alignment vertical="center" shrinkToFit="1"/>
    </xf>
    <xf numFmtId="38" fontId="10" fillId="14" borderId="38" xfId="2" applyFont="1" applyFill="1" applyBorder="1" applyAlignment="1">
      <alignment vertical="center" shrinkToFit="1"/>
    </xf>
    <xf numFmtId="38" fontId="10" fillId="0" borderId="38" xfId="2" applyFont="1" applyBorder="1" applyAlignment="1">
      <alignment horizontal="right" vertical="center" shrinkToFit="1"/>
    </xf>
    <xf numFmtId="38" fontId="10" fillId="0" borderId="1" xfId="2" applyFont="1" applyBorder="1" applyAlignment="1">
      <alignment vertical="center" shrinkToFit="1"/>
    </xf>
    <xf numFmtId="38" fontId="10" fillId="14" borderId="1" xfId="2" applyFont="1" applyFill="1" applyBorder="1" applyAlignment="1">
      <alignment vertical="center" shrinkToFit="1"/>
    </xf>
    <xf numFmtId="38" fontId="10" fillId="13" borderId="1" xfId="2" applyFont="1" applyFill="1" applyBorder="1" applyAlignment="1">
      <alignment vertical="center" shrinkToFit="1"/>
    </xf>
    <xf numFmtId="0" fontId="4" fillId="0" borderId="3" xfId="0" applyFont="1" applyBorder="1" applyAlignment="1">
      <alignment horizontal="left" vertical="center"/>
    </xf>
    <xf numFmtId="0" fontId="4" fillId="14" borderId="8" xfId="0" applyFont="1" applyFill="1" applyBorder="1" applyAlignment="1">
      <alignment vertical="center" wrapText="1"/>
    </xf>
    <xf numFmtId="0" fontId="79" fillId="0" borderId="3" xfId="0" applyFont="1" applyBorder="1" applyAlignment="1">
      <alignment horizontal="left" vertical="center"/>
    </xf>
    <xf numFmtId="38" fontId="74" fillId="3" borderId="0" xfId="2" applyFont="1" applyFill="1" applyAlignment="1">
      <alignment vertical="center" shrinkToFit="1"/>
    </xf>
    <xf numFmtId="0" fontId="0" fillId="3" borderId="0" xfId="0" applyFill="1">
      <alignment vertical="center"/>
    </xf>
    <xf numFmtId="0" fontId="0" fillId="13" borderId="3" xfId="0" applyFill="1" applyBorder="1" applyAlignment="1">
      <alignment vertical="center" wrapText="1"/>
    </xf>
    <xf numFmtId="0" fontId="0" fillId="13" borderId="39" xfId="0" applyFill="1" applyBorder="1" applyAlignment="1">
      <alignment vertical="center" wrapText="1"/>
    </xf>
    <xf numFmtId="0" fontId="0" fillId="13" borderId="40" xfId="0" applyFill="1" applyBorder="1" applyAlignment="1">
      <alignment vertical="center" wrapText="1"/>
    </xf>
    <xf numFmtId="0" fontId="0" fillId="13" borderId="37" xfId="0" applyFill="1" applyBorder="1" applyAlignment="1">
      <alignment vertical="center" shrinkToFit="1"/>
    </xf>
    <xf numFmtId="38" fontId="74" fillId="0" borderId="0" xfId="2" applyFont="1" applyFill="1" applyAlignment="1">
      <alignment vertical="center" shrinkToFit="1"/>
    </xf>
    <xf numFmtId="0" fontId="4" fillId="13" borderId="41" xfId="0" applyFont="1" applyFill="1" applyBorder="1" applyAlignment="1">
      <alignment vertical="center" wrapText="1"/>
    </xf>
    <xf numFmtId="194" fontId="0" fillId="13" borderId="38" xfId="0" applyNumberFormat="1" applyFill="1" applyBorder="1" applyAlignment="1">
      <alignment horizontal="center" vertical="center" wrapText="1"/>
    </xf>
    <xf numFmtId="38" fontId="10" fillId="13" borderId="38" xfId="2" applyFont="1" applyFill="1" applyBorder="1" applyAlignment="1">
      <alignment vertical="center" shrinkToFit="1"/>
    </xf>
    <xf numFmtId="38" fontId="10" fillId="0" borderId="37" xfId="2" applyFont="1" applyFill="1" applyBorder="1" applyAlignment="1">
      <alignment vertical="center" wrapText="1"/>
    </xf>
    <xf numFmtId="0" fontId="0" fillId="13" borderId="39" xfId="0" applyFill="1" applyBorder="1" applyAlignment="1">
      <alignment horizontal="center" vertical="center" wrapText="1"/>
    </xf>
    <xf numFmtId="0" fontId="0" fillId="13" borderId="40" xfId="0" applyFill="1" applyBorder="1" applyAlignment="1">
      <alignment horizontal="center" vertical="center" wrapText="1"/>
    </xf>
    <xf numFmtId="0" fontId="4" fillId="13" borderId="39" xfId="0" applyFont="1" applyFill="1" applyBorder="1" applyAlignment="1">
      <alignment vertical="center" wrapText="1"/>
    </xf>
    <xf numFmtId="0" fontId="4" fillId="14" borderId="39" xfId="0" applyFont="1" applyFill="1" applyBorder="1" applyAlignment="1">
      <alignment vertical="center" wrapText="1"/>
    </xf>
    <xf numFmtId="0" fontId="4" fillId="14" borderId="40" xfId="0" applyFont="1" applyFill="1" applyBorder="1" applyAlignment="1">
      <alignment vertical="center" wrapText="1"/>
    </xf>
    <xf numFmtId="0" fontId="0" fillId="0" borderId="40" xfId="0" applyBorder="1" applyAlignment="1">
      <alignment horizontal="left" vertical="center"/>
    </xf>
    <xf numFmtId="0" fontId="81" fillId="0" borderId="38" xfId="0" applyFont="1" applyBorder="1" applyAlignment="1">
      <alignment horizontal="left" vertical="center"/>
    </xf>
    <xf numFmtId="0" fontId="0" fillId="0" borderId="39" xfId="0" applyBorder="1" applyAlignment="1">
      <alignment horizontal="left" vertical="center"/>
    </xf>
    <xf numFmtId="0" fontId="4" fillId="0" borderId="40" xfId="0" applyFont="1" applyBorder="1" applyAlignment="1">
      <alignment vertical="center" wrapText="1"/>
    </xf>
    <xf numFmtId="0" fontId="4" fillId="0" borderId="41" xfId="0" applyFont="1" applyBorder="1" applyAlignment="1">
      <alignment vertical="center" wrapText="1"/>
    </xf>
    <xf numFmtId="38" fontId="10" fillId="13" borderId="38" xfId="2" applyFont="1" applyFill="1" applyBorder="1" applyAlignment="1">
      <alignment horizontal="right" vertical="center" shrinkToFit="1"/>
    </xf>
    <xf numFmtId="38" fontId="10" fillId="3" borderId="37" xfId="2" applyFont="1" applyFill="1" applyBorder="1" applyAlignment="1">
      <alignment vertical="center" wrapText="1"/>
    </xf>
    <xf numFmtId="0" fontId="0" fillId="0" borderId="40" xfId="0" applyBorder="1">
      <alignment vertical="center"/>
    </xf>
    <xf numFmtId="0" fontId="2" fillId="11" borderId="0" xfId="0" applyFont="1" applyFill="1">
      <alignment vertical="center"/>
    </xf>
    <xf numFmtId="0" fontId="0" fillId="11" borderId="0" xfId="0" applyFill="1">
      <alignment vertical="center"/>
    </xf>
    <xf numFmtId="0" fontId="4" fillId="13" borderId="9" xfId="0" applyFont="1" applyFill="1" applyBorder="1" applyAlignment="1">
      <alignment vertical="center" wrapText="1"/>
    </xf>
    <xf numFmtId="0" fontId="4" fillId="3" borderId="39" xfId="0" applyFont="1" applyFill="1" applyBorder="1" applyAlignment="1">
      <alignment vertical="center" wrapText="1"/>
    </xf>
    <xf numFmtId="38" fontId="10" fillId="3" borderId="37" xfId="2" applyFont="1" applyFill="1" applyBorder="1" applyAlignment="1">
      <alignment vertical="center" shrinkToFit="1"/>
    </xf>
    <xf numFmtId="0" fontId="10" fillId="3" borderId="37" xfId="0" applyFont="1" applyFill="1" applyBorder="1" applyAlignment="1">
      <alignment vertical="center" shrinkToFit="1"/>
    </xf>
    <xf numFmtId="0" fontId="78" fillId="3" borderId="39" xfId="0" applyFont="1" applyFill="1" applyBorder="1" applyAlignment="1">
      <alignment horizontal="left" vertical="center"/>
    </xf>
    <xf numFmtId="194" fontId="0" fillId="3" borderId="38" xfId="0" applyNumberFormat="1" applyFill="1" applyBorder="1" applyAlignment="1">
      <alignment horizontal="center" vertical="center" wrapText="1"/>
    </xf>
    <xf numFmtId="38" fontId="10" fillId="3" borderId="38" xfId="2" applyFont="1" applyFill="1" applyBorder="1" applyAlignment="1">
      <alignment vertical="center" shrinkToFit="1"/>
    </xf>
    <xf numFmtId="0" fontId="69" fillId="3" borderId="39" xfId="0" applyFont="1" applyFill="1" applyBorder="1" applyAlignment="1">
      <alignment horizontal="left" vertical="center"/>
    </xf>
    <xf numFmtId="0" fontId="4" fillId="13" borderId="6" xfId="0" applyFont="1" applyFill="1" applyBorder="1" applyAlignment="1">
      <alignment vertical="center" wrapText="1"/>
    </xf>
    <xf numFmtId="0" fontId="79" fillId="13" borderId="0" xfId="0" applyFont="1" applyFill="1" applyAlignment="1">
      <alignment vertical="center" wrapText="1"/>
    </xf>
    <xf numFmtId="0" fontId="4" fillId="0" borderId="39" xfId="0" applyFont="1" applyBorder="1" applyAlignment="1">
      <alignment vertical="center" wrapText="1"/>
    </xf>
    <xf numFmtId="0" fontId="9" fillId="0" borderId="0" xfId="14" applyFont="1" applyAlignment="1">
      <alignment wrapText="1"/>
    </xf>
    <xf numFmtId="0" fontId="2" fillId="0" borderId="40" xfId="0" applyFont="1" applyBorder="1" applyAlignment="1">
      <alignment vertical="center" shrinkToFit="1"/>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4" fillId="15" borderId="39" xfId="0" applyFont="1" applyFill="1" applyBorder="1" applyAlignment="1">
      <alignment vertical="center" wrapText="1"/>
    </xf>
    <xf numFmtId="0" fontId="69" fillId="0" borderId="39" xfId="0" applyFont="1" applyBorder="1">
      <alignment vertical="center"/>
    </xf>
    <xf numFmtId="0" fontId="8" fillId="0" borderId="110" xfId="0" applyFont="1" applyBorder="1" applyAlignment="1">
      <alignment vertical="top" wrapText="1"/>
    </xf>
    <xf numFmtId="0" fontId="8" fillId="0" borderId="7" xfId="0" applyFont="1" applyBorder="1" applyAlignment="1">
      <alignment vertical="top" wrapText="1"/>
    </xf>
    <xf numFmtId="0" fontId="8" fillId="0" borderId="1" xfId="0" applyFont="1" applyBorder="1" applyAlignment="1">
      <alignment vertical="top"/>
    </xf>
    <xf numFmtId="0" fontId="8" fillId="0" borderId="8" xfId="0" applyFont="1" applyBorder="1">
      <alignment vertical="center"/>
    </xf>
    <xf numFmtId="0" fontId="8" fillId="0" borderId="8" xfId="0" applyFont="1" applyBorder="1" applyAlignment="1">
      <alignment vertical="top"/>
    </xf>
    <xf numFmtId="0" fontId="17" fillId="16" borderId="37" xfId="0" applyFont="1" applyFill="1" applyBorder="1" applyAlignment="1">
      <alignment horizontal="center" vertical="center" shrinkToFit="1"/>
    </xf>
    <xf numFmtId="0" fontId="17" fillId="16" borderId="58" xfId="0" applyFont="1" applyFill="1" applyBorder="1" applyAlignment="1">
      <alignment horizontal="center" vertical="center" shrinkToFit="1"/>
    </xf>
    <xf numFmtId="0" fontId="8" fillId="16" borderId="99" xfId="0" applyFont="1" applyFill="1" applyBorder="1" applyAlignment="1">
      <alignment horizontal="center" vertical="center"/>
    </xf>
    <xf numFmtId="0" fontId="8" fillId="16" borderId="14" xfId="0" applyFont="1" applyFill="1" applyBorder="1" applyAlignment="1">
      <alignment horizontal="center" vertical="center"/>
    </xf>
    <xf numFmtId="0" fontId="9" fillId="16" borderId="8" xfId="0" applyFont="1" applyFill="1" applyBorder="1" applyAlignment="1">
      <alignment horizontal="center" vertical="center" shrinkToFit="1"/>
    </xf>
    <xf numFmtId="178" fontId="84" fillId="0" borderId="6" xfId="2" applyNumberFormat="1" applyFont="1" applyFill="1" applyBorder="1" applyAlignment="1">
      <alignment vertical="center" shrinkToFit="1"/>
    </xf>
    <xf numFmtId="0" fontId="84" fillId="0" borderId="3" xfId="0" applyFont="1" applyBorder="1" applyAlignment="1">
      <alignment vertical="center" shrinkToFit="1"/>
    </xf>
    <xf numFmtId="0" fontId="84" fillId="0" borderId="41" xfId="0" applyFont="1" applyBorder="1" applyAlignment="1">
      <alignment vertical="center" shrinkToFit="1"/>
    </xf>
    <xf numFmtId="178" fontId="84" fillId="16" borderId="10" xfId="2" applyNumberFormat="1" applyFont="1" applyFill="1" applyBorder="1" applyAlignment="1">
      <alignment vertical="center" shrinkToFit="1"/>
    </xf>
    <xf numFmtId="0" fontId="92" fillId="16" borderId="35" xfId="0" applyFont="1" applyFill="1" applyBorder="1" applyAlignment="1">
      <alignment horizontal="left" vertical="center" shrinkToFit="1"/>
    </xf>
    <xf numFmtId="0" fontId="45" fillId="16" borderId="35" xfId="0" applyFont="1" applyFill="1" applyBorder="1" applyAlignment="1">
      <alignment horizontal="left" vertical="center" shrinkToFit="1"/>
    </xf>
    <xf numFmtId="0" fontId="73" fillId="16" borderId="35" xfId="0" applyFont="1" applyFill="1" applyBorder="1">
      <alignment vertical="center"/>
    </xf>
    <xf numFmtId="0" fontId="93" fillId="16" borderId="69" xfId="0" applyFont="1" applyFill="1" applyBorder="1" applyAlignment="1">
      <alignment vertical="center" shrinkToFit="1"/>
    </xf>
    <xf numFmtId="0" fontId="32" fillId="16" borderId="35" xfId="0" applyFont="1" applyFill="1" applyBorder="1">
      <alignment vertical="center"/>
    </xf>
    <xf numFmtId="0" fontId="94" fillId="16" borderId="35" xfId="15" applyFont="1" applyFill="1" applyBorder="1" applyAlignment="1" applyProtection="1">
      <alignment vertical="center" wrapText="1"/>
      <protection locked="0"/>
    </xf>
    <xf numFmtId="0" fontId="93" fillId="16" borderId="35" xfId="0" applyFont="1" applyFill="1" applyBorder="1" applyAlignment="1">
      <alignment vertical="center" shrinkToFit="1"/>
    </xf>
    <xf numFmtId="0" fontId="71" fillId="16" borderId="35" xfId="0" applyFont="1" applyFill="1" applyBorder="1">
      <alignment vertical="center"/>
    </xf>
    <xf numFmtId="0" fontId="25" fillId="16" borderId="35" xfId="0" applyFont="1" applyFill="1" applyBorder="1">
      <alignment vertical="center"/>
    </xf>
    <xf numFmtId="0" fontId="96" fillId="16" borderId="40" xfId="0" applyFont="1" applyFill="1" applyBorder="1" applyAlignment="1">
      <alignment horizontal="center" vertical="center"/>
    </xf>
    <xf numFmtId="192" fontId="96" fillId="16" borderId="40" xfId="0" applyNumberFormat="1" applyFont="1" applyFill="1" applyBorder="1" applyAlignment="1">
      <alignment horizontal="center" vertical="center" wrapText="1"/>
    </xf>
    <xf numFmtId="0" fontId="93" fillId="16" borderId="0" xfId="0" applyFont="1" applyFill="1">
      <alignment vertical="center"/>
    </xf>
    <xf numFmtId="0" fontId="8" fillId="16" borderId="6" xfId="0" applyFont="1" applyFill="1" applyBorder="1">
      <alignment vertical="center"/>
    </xf>
    <xf numFmtId="0" fontId="8" fillId="16" borderId="3" xfId="0" applyFont="1" applyFill="1" applyBorder="1">
      <alignment vertical="center"/>
    </xf>
    <xf numFmtId="0" fontId="8" fillId="16" borderId="41" xfId="0" applyFont="1" applyFill="1" applyBorder="1">
      <alignment vertical="center"/>
    </xf>
    <xf numFmtId="0" fontId="8" fillId="16" borderId="7" xfId="0" applyFont="1" applyFill="1" applyBorder="1">
      <alignment vertical="center"/>
    </xf>
    <xf numFmtId="0" fontId="8" fillId="16" borderId="0" xfId="0" applyFont="1" applyFill="1">
      <alignment vertical="center"/>
    </xf>
    <xf numFmtId="0" fontId="8" fillId="16" borderId="5" xfId="0" applyFont="1" applyFill="1" applyBorder="1">
      <alignment vertical="center"/>
    </xf>
    <xf numFmtId="0" fontId="8" fillId="16" borderId="2" xfId="0" applyFont="1" applyFill="1" applyBorder="1">
      <alignment vertical="center"/>
    </xf>
    <xf numFmtId="0" fontId="8" fillId="16" borderId="8" xfId="0" applyFont="1" applyFill="1" applyBorder="1">
      <alignment vertical="center"/>
    </xf>
    <xf numFmtId="0" fontId="8" fillId="16" borderId="9" xfId="0" applyFont="1" applyFill="1" applyBorder="1">
      <alignment vertical="center"/>
    </xf>
    <xf numFmtId="0" fontId="37" fillId="16" borderId="37" xfId="6" applyFont="1" applyFill="1" applyBorder="1" applyAlignment="1">
      <alignment horizontal="center" vertical="center" wrapText="1" shrinkToFit="1"/>
    </xf>
    <xf numFmtId="0" fontId="37" fillId="16" borderId="37" xfId="6" applyFont="1" applyFill="1" applyBorder="1" applyAlignment="1">
      <alignment vertical="center" wrapText="1" shrinkToFit="1"/>
    </xf>
    <xf numFmtId="0" fontId="37" fillId="16" borderId="37" xfId="6" applyFont="1" applyFill="1" applyBorder="1" applyAlignment="1">
      <alignment horizontal="center" vertical="center"/>
    </xf>
    <xf numFmtId="0" fontId="37" fillId="16" borderId="111" xfId="6" applyFont="1" applyFill="1" applyBorder="1">
      <alignment vertical="center"/>
    </xf>
    <xf numFmtId="0" fontId="37" fillId="16" borderId="39" xfId="6" applyFont="1" applyFill="1" applyBorder="1">
      <alignment vertical="center"/>
    </xf>
    <xf numFmtId="0" fontId="9" fillId="0" borderId="42" xfId="6" applyFont="1" applyBorder="1" applyAlignment="1">
      <alignment vertical="top"/>
    </xf>
    <xf numFmtId="0" fontId="9" fillId="0" borderId="6" xfId="6" applyFont="1" applyBorder="1" applyAlignment="1">
      <alignment vertical="top"/>
    </xf>
    <xf numFmtId="0" fontId="9" fillId="0" borderId="3" xfId="6" applyFont="1" applyBorder="1" applyAlignment="1">
      <alignment vertical="top"/>
    </xf>
    <xf numFmtId="0" fontId="9" fillId="0" borderId="41" xfId="6" applyFont="1" applyBorder="1" applyAlignment="1">
      <alignment vertical="top"/>
    </xf>
    <xf numFmtId="179" fontId="84" fillId="0" borderId="18" xfId="2" applyNumberFormat="1" applyFont="1" applyFill="1" applyBorder="1" applyAlignment="1">
      <alignment horizontal="right" vertical="center" shrinkToFit="1"/>
    </xf>
    <xf numFmtId="179" fontId="84" fillId="16" borderId="17" xfId="2" applyNumberFormat="1" applyFont="1" applyFill="1" applyBorder="1" applyAlignment="1">
      <alignment vertical="center" shrinkToFit="1"/>
    </xf>
    <xf numFmtId="0" fontId="9" fillId="0" borderId="39" xfId="0" applyFont="1" applyBorder="1">
      <alignment vertical="center"/>
    </xf>
    <xf numFmtId="0" fontId="9" fillId="0" borderId="40" xfId="0" applyFont="1" applyBorder="1">
      <alignment vertical="center"/>
    </xf>
    <xf numFmtId="0" fontId="9" fillId="16" borderId="0" xfId="0" applyFont="1" applyFill="1">
      <alignment vertical="center"/>
    </xf>
    <xf numFmtId="0" fontId="8" fillId="16" borderId="3" xfId="0" applyFont="1" applyFill="1" applyBorder="1" applyAlignment="1">
      <alignment horizontal="center" vertical="center"/>
    </xf>
    <xf numFmtId="0" fontId="8" fillId="16" borderId="8" xfId="0" applyFont="1" applyFill="1" applyBorder="1" applyAlignment="1">
      <alignment horizontal="center" vertical="center"/>
    </xf>
    <xf numFmtId="0" fontId="75" fillId="0" borderId="38" xfId="0" applyFont="1" applyBorder="1">
      <alignment vertical="center"/>
    </xf>
    <xf numFmtId="0" fontId="4" fillId="15" borderId="40"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39" xfId="0" applyFont="1" applyFill="1" applyBorder="1" applyAlignment="1">
      <alignment horizontal="center" vertical="center" wrapText="1" shrinkToFit="1"/>
    </xf>
    <xf numFmtId="0" fontId="4" fillId="13" borderId="40" xfId="0" applyFont="1" applyFill="1" applyBorder="1" applyAlignment="1">
      <alignment horizontal="center" vertical="center" wrapText="1" shrinkToFit="1"/>
    </xf>
    <xf numFmtId="0" fontId="52" fillId="0" borderId="21" xfId="0" applyFont="1" applyBorder="1" applyAlignment="1">
      <alignment horizontal="center" vertical="center" wrapText="1"/>
    </xf>
    <xf numFmtId="0" fontId="15" fillId="12" borderId="143" xfId="0" applyFont="1" applyFill="1" applyBorder="1" applyAlignment="1">
      <alignment horizontal="left" vertical="center" shrinkToFit="1"/>
    </xf>
    <xf numFmtId="0" fontId="59" fillId="0" borderId="0" xfId="0" applyFont="1" applyAlignment="1">
      <alignment horizontal="centerContinuous" vertical="center" wrapText="1"/>
    </xf>
    <xf numFmtId="0" fontId="58" fillId="0" borderId="0" xfId="0" applyFont="1" applyAlignment="1">
      <alignment horizontal="centerContinuous" vertical="center" wrapText="1"/>
    </xf>
    <xf numFmtId="0" fontId="129" fillId="10" borderId="94" xfId="14" applyFont="1" applyFill="1" applyBorder="1" applyAlignment="1">
      <alignment vertical="center"/>
    </xf>
    <xf numFmtId="0" fontId="129" fillId="10" borderId="95"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37" xfId="0" applyFont="1" applyBorder="1" applyAlignment="1">
      <alignment horizontal="center" vertical="center" wrapText="1"/>
    </xf>
    <xf numFmtId="0" fontId="11" fillId="0" borderId="42" xfId="0" applyFont="1" applyBorder="1" applyAlignment="1">
      <alignment horizontal="center" vertical="center" wrapText="1"/>
    </xf>
    <xf numFmtId="0" fontId="131" fillId="0" borderId="0" xfId="0" applyFont="1">
      <alignment vertical="center"/>
    </xf>
    <xf numFmtId="0" fontId="118" fillId="0" borderId="37" xfId="0" applyFont="1" applyBorder="1" applyAlignment="1">
      <alignment horizontal="center" vertical="center" wrapText="1"/>
    </xf>
    <xf numFmtId="180" fontId="8" fillId="5" borderId="37" xfId="0" applyNumberFormat="1" applyFont="1" applyFill="1" applyBorder="1" applyAlignment="1">
      <alignment horizontal="center" vertical="center"/>
    </xf>
    <xf numFmtId="0" fontId="43" fillId="0" borderId="37" xfId="0" applyFont="1" applyBorder="1" applyAlignment="1">
      <alignment horizontal="left" vertical="center" wrapText="1"/>
    </xf>
    <xf numFmtId="0" fontId="4" fillId="0" borderId="37" xfId="0" applyFont="1" applyBorder="1" applyAlignment="1">
      <alignment horizontal="left" vertical="center" wrapText="1"/>
    </xf>
    <xf numFmtId="0" fontId="8" fillId="16" borderId="37" xfId="0" applyFont="1" applyFill="1" applyBorder="1">
      <alignment vertical="center"/>
    </xf>
    <xf numFmtId="0" fontId="8" fillId="7" borderId="37" xfId="0" applyFont="1" applyFill="1" applyBorder="1">
      <alignment vertical="center"/>
    </xf>
    <xf numFmtId="0" fontId="43" fillId="2" borderId="38" xfId="0" applyFont="1" applyFill="1" applyBorder="1">
      <alignment vertical="center"/>
    </xf>
    <xf numFmtId="0" fontId="8" fillId="5" borderId="37" xfId="0" applyFont="1" applyFill="1" applyBorder="1" applyAlignment="1">
      <alignment horizontal="center" vertical="center"/>
    </xf>
    <xf numFmtId="0" fontId="6" fillId="7" borderId="41" xfId="0" applyFont="1" applyFill="1" applyBorder="1">
      <alignment vertical="center"/>
    </xf>
    <xf numFmtId="0" fontId="43" fillId="0" borderId="42" xfId="0" applyFont="1" applyBorder="1" applyAlignment="1">
      <alignment horizontal="left" vertical="center" wrapText="1"/>
    </xf>
    <xf numFmtId="0" fontId="4" fillId="0" borderId="4" xfId="0" applyFont="1" applyBorder="1" applyAlignment="1">
      <alignment horizontal="left" vertical="center" wrapText="1"/>
    </xf>
    <xf numFmtId="38" fontId="17" fillId="7" borderId="38" xfId="2" applyFont="1" applyFill="1" applyBorder="1" applyAlignment="1" applyProtection="1">
      <alignment vertical="center" shrinkToFit="1"/>
    </xf>
    <xf numFmtId="38" fontId="43" fillId="0" borderId="59" xfId="2" applyFont="1" applyFill="1" applyBorder="1" applyAlignment="1" applyProtection="1">
      <alignment vertical="center" shrinkToFit="1"/>
    </xf>
    <xf numFmtId="0" fontId="90" fillId="7" borderId="57" xfId="0" applyFont="1" applyFill="1" applyBorder="1" applyAlignment="1">
      <alignment vertical="center" shrinkToFit="1"/>
    </xf>
    <xf numFmtId="0" fontId="90" fillId="7" borderId="37" xfId="0" applyFont="1" applyFill="1" applyBorder="1" applyAlignment="1">
      <alignment vertical="center" shrinkToFit="1"/>
    </xf>
    <xf numFmtId="0" fontId="90" fillId="7" borderId="37" xfId="0" applyFont="1" applyFill="1" applyBorder="1" applyAlignment="1">
      <alignment horizontal="center" vertical="center" shrinkToFit="1"/>
    </xf>
    <xf numFmtId="38" fontId="90" fillId="7" borderId="37" xfId="2" applyFont="1" applyFill="1" applyBorder="1" applyAlignment="1" applyProtection="1">
      <alignment vertical="center" shrinkToFit="1"/>
    </xf>
    <xf numFmtId="0" fontId="90" fillId="7" borderId="38" xfId="0" applyFont="1" applyFill="1" applyBorder="1" applyAlignment="1">
      <alignment horizontal="left" vertical="center" shrinkToFit="1"/>
    </xf>
    <xf numFmtId="0" fontId="90" fillId="16" borderId="37" xfId="0" applyFont="1" applyFill="1" applyBorder="1" applyAlignment="1">
      <alignment horizontal="center" vertical="center" shrinkToFit="1"/>
    </xf>
    <xf numFmtId="0" fontId="90" fillId="7" borderId="38" xfId="0" applyFont="1" applyFill="1" applyBorder="1" applyAlignment="1">
      <alignment horizontal="center" vertical="center" shrinkToFit="1"/>
    </xf>
    <xf numFmtId="0" fontId="90" fillId="16" borderId="58" xfId="0" applyFont="1" applyFill="1" applyBorder="1" applyAlignment="1">
      <alignment horizontal="center" vertical="center" shrinkToFit="1"/>
    </xf>
    <xf numFmtId="58" fontId="45" fillId="7" borderId="0" xfId="0" applyNumberFormat="1" applyFont="1" applyFill="1" applyAlignment="1">
      <alignment horizontal="right" vertical="center"/>
    </xf>
    <xf numFmtId="0" fontId="133" fillId="7" borderId="7" xfId="0" applyFont="1" applyFill="1" applyBorder="1">
      <alignment vertical="center"/>
    </xf>
    <xf numFmtId="0" fontId="37" fillId="0" borderId="0" xfId="0" applyFont="1">
      <alignment vertical="center"/>
    </xf>
    <xf numFmtId="0" fontId="90" fillId="16" borderId="30" xfId="0" applyFont="1" applyFill="1" applyBorder="1" applyAlignment="1">
      <alignment horizontal="center" vertical="center" shrinkToFit="1"/>
    </xf>
    <xf numFmtId="0" fontId="90" fillId="16" borderId="21" xfId="0" applyFont="1" applyFill="1" applyBorder="1" applyAlignment="1">
      <alignment horizontal="center" vertical="center" shrinkToFit="1"/>
    </xf>
    <xf numFmtId="201" fontId="90" fillId="16" borderId="30" xfId="0" applyNumberFormat="1" applyFont="1" applyFill="1" applyBorder="1" applyAlignment="1">
      <alignment horizontal="center" vertical="center" shrinkToFit="1"/>
    </xf>
    <xf numFmtId="201" fontId="90" fillId="16" borderId="37" xfId="0" applyNumberFormat="1" applyFont="1" applyFill="1" applyBorder="1" applyAlignment="1">
      <alignment horizontal="center" vertical="center" shrinkToFit="1"/>
    </xf>
    <xf numFmtId="201" fontId="90" fillId="16" borderId="21" xfId="0" applyNumberFormat="1" applyFont="1" applyFill="1" applyBorder="1" applyAlignment="1">
      <alignment horizontal="center" vertical="center" shrinkToFit="1"/>
    </xf>
    <xf numFmtId="0" fontId="6" fillId="7" borderId="15" xfId="0" applyFont="1" applyFill="1" applyBorder="1" applyAlignment="1">
      <alignment vertical="center" shrinkToFit="1"/>
    </xf>
    <xf numFmtId="0" fontId="6" fillId="7" borderId="39" xfId="0" applyFont="1" applyFill="1" applyBorder="1" applyAlignment="1">
      <alignment vertical="center" shrinkToFit="1"/>
    </xf>
    <xf numFmtId="0" fontId="133" fillId="7" borderId="8" xfId="0" applyFont="1" applyFill="1" applyBorder="1" applyAlignment="1">
      <alignment vertical="center" shrinkToFit="1"/>
    </xf>
    <xf numFmtId="0" fontId="134" fillId="0" borderId="0" xfId="6" applyFont="1">
      <alignment vertical="center"/>
    </xf>
    <xf numFmtId="0" fontId="135" fillId="0" borderId="0" xfId="6" applyFont="1">
      <alignment vertical="center"/>
    </xf>
    <xf numFmtId="0" fontId="6"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right" vertical="center"/>
    </xf>
    <xf numFmtId="0" fontId="6" fillId="5" borderId="8" xfId="6" applyFont="1" applyFill="1" applyBorder="1" applyAlignment="1">
      <alignment horizontal="left" vertical="center"/>
    </xf>
    <xf numFmtId="0" fontId="136" fillId="0" borderId="0" xfId="6" applyFont="1" applyAlignment="1">
      <alignment horizontal="center" vertical="center"/>
    </xf>
    <xf numFmtId="0" fontId="136" fillId="0" borderId="0" xfId="6" applyFont="1" applyAlignment="1">
      <alignment horizontal="right" vertical="center"/>
    </xf>
    <xf numFmtId="0" fontId="136" fillId="0" borderId="0" xfId="6" applyFont="1" applyAlignment="1">
      <alignment horizontal="left" vertical="center"/>
    </xf>
    <xf numFmtId="0" fontId="6" fillId="0" borderId="0" xfId="6" applyFont="1" applyBorder="1" applyAlignment="1">
      <alignment horizontal="right" vertical="center"/>
    </xf>
    <xf numFmtId="0" fontId="7" fillId="0" borderId="0" xfId="6" applyFont="1" applyAlignment="1">
      <alignment horizontal="left" vertical="center"/>
    </xf>
    <xf numFmtId="0" fontId="13" fillId="0" borderId="0" xfId="6" applyFont="1">
      <alignment vertical="center"/>
    </xf>
    <xf numFmtId="0" fontId="137" fillId="0" borderId="0" xfId="6" applyFont="1" applyAlignment="1">
      <alignment horizontal="center" vertical="center"/>
    </xf>
    <xf numFmtId="0" fontId="5" fillId="2" borderId="35" xfId="6" applyFont="1" applyFill="1" applyBorder="1" applyAlignment="1">
      <alignment horizontal="center" vertical="center" shrinkToFit="1"/>
    </xf>
    <xf numFmtId="0" fontId="6" fillId="0" borderId="0" xfId="6" applyFont="1" applyAlignment="1">
      <alignment horizontal="center" vertical="center"/>
    </xf>
    <xf numFmtId="208" fontId="6" fillId="16" borderId="69" xfId="6" applyNumberFormat="1" applyFont="1" applyFill="1" applyBorder="1" applyAlignment="1">
      <alignment horizontal="center" vertical="center" wrapText="1"/>
    </xf>
    <xf numFmtId="209" fontId="6" fillId="16" borderId="69" xfId="6" applyNumberFormat="1" applyFont="1" applyFill="1" applyBorder="1" applyAlignment="1">
      <alignment horizontal="center" vertical="center" shrinkToFit="1"/>
    </xf>
    <xf numFmtId="210" fontId="6" fillId="16" borderId="69" xfId="6" applyNumberFormat="1" applyFont="1" applyFill="1" applyBorder="1" applyAlignment="1">
      <alignment horizontal="center" vertical="center" shrinkToFit="1"/>
    </xf>
    <xf numFmtId="211" fontId="6" fillId="16" borderId="69" xfId="6" applyNumberFormat="1" applyFont="1" applyFill="1" applyBorder="1" applyAlignment="1">
      <alignment horizontal="center" vertical="center" shrinkToFit="1"/>
    </xf>
    <xf numFmtId="212" fontId="6" fillId="5" borderId="69" xfId="6" applyNumberFormat="1" applyFont="1" applyFill="1" applyBorder="1" applyAlignment="1">
      <alignment horizontal="center" vertical="center" shrinkToFit="1"/>
    </xf>
    <xf numFmtId="0" fontId="6" fillId="16" borderId="69" xfId="6" applyFont="1" applyFill="1" applyBorder="1" applyAlignment="1">
      <alignment horizontal="center" vertical="center" wrapText="1"/>
    </xf>
    <xf numFmtId="199" fontId="106" fillId="5" borderId="35" xfId="6" applyNumberFormat="1" applyFont="1" applyFill="1" applyBorder="1" applyAlignment="1">
      <alignment horizontal="left" vertical="center" wrapText="1" shrinkToFit="1"/>
    </xf>
    <xf numFmtId="199" fontId="106" fillId="10" borderId="35" xfId="6" applyNumberFormat="1" applyFont="1" applyFill="1" applyBorder="1" applyAlignment="1">
      <alignment horizontal="left" vertical="center" wrapText="1" shrinkToFit="1"/>
    </xf>
    <xf numFmtId="0" fontId="13" fillId="16" borderId="69" xfId="6" applyFont="1" applyFill="1" applyBorder="1" applyAlignment="1">
      <alignment vertical="center" wrapText="1"/>
    </xf>
    <xf numFmtId="0" fontId="6" fillId="0" borderId="155" xfId="6" applyFont="1" applyBorder="1" applyAlignment="1">
      <alignment horizontal="center" vertical="center"/>
    </xf>
    <xf numFmtId="208" fontId="6" fillId="16" borderId="35" xfId="6" applyNumberFormat="1" applyFont="1" applyFill="1" applyBorder="1" applyAlignment="1">
      <alignment horizontal="center" vertical="center" wrapText="1"/>
    </xf>
    <xf numFmtId="209" fontId="6" fillId="16" borderId="35" xfId="6" applyNumberFormat="1" applyFont="1" applyFill="1" applyBorder="1" applyAlignment="1">
      <alignment horizontal="center" vertical="center" shrinkToFit="1"/>
    </xf>
    <xf numFmtId="210" fontId="6" fillId="16" borderId="35" xfId="6" applyNumberFormat="1" applyFont="1" applyFill="1" applyBorder="1" applyAlignment="1">
      <alignment horizontal="center" vertical="center" shrinkToFit="1"/>
    </xf>
    <xf numFmtId="211" fontId="6" fillId="16" borderId="35" xfId="6" applyNumberFormat="1" applyFont="1" applyFill="1" applyBorder="1" applyAlignment="1">
      <alignment horizontal="center" vertical="center" shrinkToFit="1"/>
    </xf>
    <xf numFmtId="212" fontId="6" fillId="5" borderId="35" xfId="6" applyNumberFormat="1" applyFont="1" applyFill="1" applyBorder="1" applyAlignment="1">
      <alignment horizontal="center" vertical="center" shrinkToFit="1"/>
    </xf>
    <xf numFmtId="0" fontId="6" fillId="16" borderId="35" xfId="6" applyFont="1" applyFill="1" applyBorder="1" applyAlignment="1">
      <alignment horizontal="center" vertical="center" wrapText="1"/>
    </xf>
    <xf numFmtId="0" fontId="13" fillId="16" borderId="35" xfId="6" applyFont="1" applyFill="1" applyBorder="1" applyAlignment="1">
      <alignment vertical="center" wrapText="1"/>
    </xf>
    <xf numFmtId="209" fontId="6" fillId="16" borderId="157" xfId="6" applyNumberFormat="1" applyFont="1" applyFill="1" applyBorder="1" applyAlignment="1">
      <alignment horizontal="center" vertical="center" shrinkToFit="1"/>
    </xf>
    <xf numFmtId="211" fontId="6" fillId="16" borderId="157" xfId="6" applyNumberFormat="1" applyFont="1" applyFill="1" applyBorder="1" applyAlignment="1">
      <alignment horizontal="center" vertical="center" shrinkToFit="1"/>
    </xf>
    <xf numFmtId="0" fontId="6" fillId="16" borderId="157" xfId="6" applyFont="1" applyFill="1" applyBorder="1" applyAlignment="1">
      <alignment horizontal="center" vertical="center" wrapText="1"/>
    </xf>
    <xf numFmtId="0" fontId="13" fillId="16" borderId="157" xfId="6" applyFont="1" applyFill="1" applyBorder="1" applyAlignment="1">
      <alignment vertical="center" wrapText="1"/>
    </xf>
    <xf numFmtId="208" fontId="6" fillId="16" borderId="157" xfId="6" applyNumberFormat="1" applyFont="1" applyFill="1" applyBorder="1" applyAlignment="1">
      <alignment horizontal="center" vertical="center" wrapText="1"/>
    </xf>
    <xf numFmtId="208" fontId="6" fillId="18" borderId="157" xfId="6" applyNumberFormat="1" applyFont="1" applyFill="1" applyBorder="1" applyAlignment="1">
      <alignment horizontal="center" vertical="center" wrapText="1"/>
    </xf>
    <xf numFmtId="209" fontId="6" fillId="18" borderId="157" xfId="6" applyNumberFormat="1" applyFont="1" applyFill="1" applyBorder="1" applyAlignment="1">
      <alignment horizontal="center" vertical="center" shrinkToFit="1"/>
    </xf>
    <xf numFmtId="0" fontId="6" fillId="18" borderId="0" xfId="6" applyFont="1" applyFill="1">
      <alignment vertical="center"/>
    </xf>
    <xf numFmtId="213" fontId="6" fillId="18" borderId="35" xfId="6" applyNumberFormat="1" applyFont="1" applyFill="1" applyBorder="1" applyAlignment="1">
      <alignment horizontal="center" vertical="center" wrapText="1"/>
    </xf>
    <xf numFmtId="210" fontId="140" fillId="18" borderId="157" xfId="6" applyNumberFormat="1" applyFont="1" applyFill="1" applyBorder="1" applyAlignment="1">
      <alignment horizontal="center" vertical="center"/>
    </xf>
    <xf numFmtId="212" fontId="6" fillId="18" borderId="157" xfId="6" applyNumberFormat="1" applyFont="1" applyFill="1" applyBorder="1" applyAlignment="1">
      <alignment horizontal="center" vertical="center" wrapText="1"/>
    </xf>
    <xf numFmtId="0" fontId="6" fillId="18" borderId="157" xfId="6" applyFont="1" applyFill="1" applyBorder="1" applyAlignment="1">
      <alignment horizontal="center" vertical="center" wrapText="1"/>
    </xf>
    <xf numFmtId="199" fontId="5" fillId="18" borderId="35" xfId="6" applyNumberFormat="1" applyFont="1" applyFill="1" applyBorder="1" applyAlignment="1">
      <alignment horizontal="left" vertical="center" wrapText="1" shrinkToFit="1"/>
    </xf>
    <xf numFmtId="0" fontId="13" fillId="18" borderId="157" xfId="6" applyFont="1" applyFill="1" applyBorder="1" applyAlignment="1">
      <alignment vertical="center" wrapText="1"/>
    </xf>
    <xf numFmtId="208" fontId="6" fillId="0" borderId="0" xfId="6" applyNumberFormat="1" applyFont="1" applyAlignment="1">
      <alignment horizontal="center" vertical="center" wrapText="1"/>
    </xf>
    <xf numFmtId="209" fontId="6" fillId="0" borderId="0" xfId="6" applyNumberFormat="1" applyFont="1" applyAlignment="1">
      <alignment horizontal="center" vertical="center" shrinkToFit="1"/>
    </xf>
    <xf numFmtId="210" fontId="6" fillId="0" borderId="0" xfId="6" applyNumberFormat="1" applyFont="1" applyAlignment="1">
      <alignment horizontal="center" vertical="center" wrapText="1"/>
    </xf>
    <xf numFmtId="213" fontId="6" fillId="0" borderId="0" xfId="6" applyNumberFormat="1" applyFont="1" applyAlignment="1">
      <alignment horizontal="center" vertical="center" wrapTex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0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37" xfId="6" applyFont="1" applyBorder="1" applyAlignment="1">
      <alignment horizontal="center" vertical="center" shrinkToFit="1"/>
    </xf>
    <xf numFmtId="0" fontId="5" fillId="0" borderId="37" xfId="6" applyFont="1" applyBorder="1" applyAlignment="1">
      <alignment horizontal="center" vertical="center" wrapText="1"/>
    </xf>
    <xf numFmtId="212" fontId="6" fillId="0" borderId="37" xfId="6" applyNumberFormat="1" applyFont="1" applyBorder="1" applyAlignment="1">
      <alignment horizontal="center" vertical="center" wrapText="1"/>
    </xf>
    <xf numFmtId="211" fontId="6" fillId="4" borderId="37" xfId="6" applyNumberFormat="1" applyFont="1" applyFill="1" applyBorder="1" applyAlignment="1">
      <alignment horizontal="center" vertical="center" wrapText="1"/>
    </xf>
    <xf numFmtId="212" fontId="6" fillId="4" borderId="37"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141" fillId="16" borderId="0" xfId="0" applyFont="1" applyFill="1" applyAlignment="1">
      <alignment horizontal="right" vertical="center"/>
    </xf>
    <xf numFmtId="0" fontId="145" fillId="7" borderId="6" xfId="17" applyFont="1" applyFill="1" applyBorder="1">
      <alignment vertical="center"/>
    </xf>
    <xf numFmtId="0" fontId="142" fillId="7" borderId="3" xfId="17" applyFont="1" applyFill="1" applyBorder="1">
      <alignment vertical="center"/>
    </xf>
    <xf numFmtId="0" fontId="142" fillId="7" borderId="41" xfId="17" applyFont="1" applyFill="1" applyBorder="1">
      <alignment vertical="center"/>
    </xf>
    <xf numFmtId="0" fontId="142" fillId="0" borderId="0" xfId="6" applyFont="1">
      <alignment vertical="center"/>
    </xf>
    <xf numFmtId="0" fontId="142" fillId="5" borderId="37" xfId="6" applyFont="1" applyFill="1" applyBorder="1" applyAlignment="1">
      <alignment vertical="center" wrapText="1"/>
    </xf>
    <xf numFmtId="0" fontId="142" fillId="5" borderId="38" xfId="6" applyFont="1" applyFill="1" applyBorder="1" applyAlignment="1">
      <alignment vertical="center" wrapText="1"/>
    </xf>
    <xf numFmtId="0" fontId="142" fillId="5" borderId="37" xfId="6" applyFont="1" applyFill="1" applyBorder="1" applyAlignment="1">
      <alignment horizontal="center" vertical="center" wrapText="1"/>
    </xf>
    <xf numFmtId="0" fontId="142" fillId="5" borderId="39" xfId="6" applyFont="1" applyFill="1" applyBorder="1" applyAlignment="1">
      <alignment vertical="center" wrapText="1" shrinkToFit="1"/>
    </xf>
    <xf numFmtId="0" fontId="143" fillId="5" borderId="162" xfId="5" applyFont="1" applyFill="1" applyBorder="1" applyAlignment="1">
      <alignment horizontal="center" vertical="center"/>
    </xf>
    <xf numFmtId="0" fontId="143" fillId="5" borderId="125" xfId="5" applyFont="1" applyFill="1" applyBorder="1" applyAlignment="1">
      <alignment horizontal="center" vertical="center"/>
    </xf>
    <xf numFmtId="0" fontId="142" fillId="0" borderId="125" xfId="6" applyFont="1" applyBorder="1">
      <alignment vertical="center"/>
    </xf>
    <xf numFmtId="0" fontId="142" fillId="0" borderId="163" xfId="6" applyFont="1" applyBorder="1">
      <alignment vertical="center"/>
    </xf>
    <xf numFmtId="0" fontId="142" fillId="0" borderId="42" xfId="6" applyFont="1" applyBorder="1">
      <alignment vertical="center"/>
    </xf>
    <xf numFmtId="0" fontId="143" fillId="0" borderId="3" xfId="6" applyFont="1" applyBorder="1" applyAlignment="1">
      <alignment vertical="center" wrapText="1"/>
    </xf>
    <xf numFmtId="0" fontId="143" fillId="0" borderId="166" xfId="5" applyFont="1" applyBorder="1">
      <alignment vertical="center"/>
    </xf>
    <xf numFmtId="0" fontId="143" fillId="0" borderId="167" xfId="5" applyFont="1" applyBorder="1">
      <alignment vertical="center"/>
    </xf>
    <xf numFmtId="0" fontId="11" fillId="0" borderId="168" xfId="6" applyFont="1" applyBorder="1" applyAlignment="1">
      <alignment vertical="center" wrapText="1"/>
    </xf>
    <xf numFmtId="0" fontId="142" fillId="0" borderId="1" xfId="6" applyFont="1" applyBorder="1">
      <alignment vertical="center"/>
    </xf>
    <xf numFmtId="0" fontId="142" fillId="0" borderId="2" xfId="6" applyFont="1" applyBorder="1">
      <alignment vertical="center"/>
    </xf>
    <xf numFmtId="0" fontId="142" fillId="0" borderId="167" xfId="6" applyFont="1" applyBorder="1">
      <alignment vertical="center"/>
    </xf>
    <xf numFmtId="0" fontId="142" fillId="0" borderId="169" xfId="6" applyFont="1" applyBorder="1">
      <alignment vertical="center"/>
    </xf>
    <xf numFmtId="0" fontId="142" fillId="0" borderId="170" xfId="6" applyFont="1" applyBorder="1">
      <alignment vertical="center"/>
    </xf>
    <xf numFmtId="0" fontId="143" fillId="0" borderId="133" xfId="6" applyFont="1" applyBorder="1">
      <alignment vertical="center"/>
    </xf>
    <xf numFmtId="0" fontId="142" fillId="0" borderId="126" xfId="6" applyFont="1" applyBorder="1">
      <alignment vertical="center"/>
    </xf>
    <xf numFmtId="0" fontId="142" fillId="0" borderId="41" xfId="6" applyFont="1" applyBorder="1">
      <alignment vertical="center"/>
    </xf>
    <xf numFmtId="0" fontId="142" fillId="0" borderId="6" xfId="6" applyFont="1" applyBorder="1">
      <alignment vertical="center"/>
    </xf>
    <xf numFmtId="0" fontId="142" fillId="0" borderId="5" xfId="6" applyFont="1" applyBorder="1">
      <alignment vertical="center"/>
    </xf>
    <xf numFmtId="0" fontId="142" fillId="0" borderId="171" xfId="6" applyFont="1" applyBorder="1">
      <alignment vertical="center"/>
    </xf>
    <xf numFmtId="0" fontId="142" fillId="0" borderId="7" xfId="17" applyFont="1" applyBorder="1">
      <alignment vertical="center"/>
    </xf>
    <xf numFmtId="0" fontId="142" fillId="0" borderId="0" xfId="17" applyFont="1">
      <alignment vertical="center"/>
    </xf>
    <xf numFmtId="0" fontId="142" fillId="0" borderId="5" xfId="17" applyFont="1" applyBorder="1">
      <alignment vertical="center"/>
    </xf>
    <xf numFmtId="0" fontId="142" fillId="0" borderId="172" xfId="6" applyFont="1" applyBorder="1">
      <alignment vertical="center"/>
    </xf>
    <xf numFmtId="0" fontId="142" fillId="0" borderId="7" xfId="6" applyFont="1" applyBorder="1">
      <alignment vertical="center"/>
    </xf>
    <xf numFmtId="0" fontId="147" fillId="0" borderId="7" xfId="17" applyFont="1" applyBorder="1" applyAlignment="1">
      <alignment horizontal="left" vertical="center" indent="2"/>
    </xf>
    <xf numFmtId="0" fontId="147" fillId="0" borderId="0" xfId="17" applyFont="1" applyAlignment="1">
      <alignment horizontal="left" vertical="center" indent="2"/>
    </xf>
    <xf numFmtId="0" fontId="147" fillId="0" borderId="5" xfId="17" applyFont="1" applyBorder="1" applyAlignment="1">
      <alignment horizontal="left" vertical="center" indent="2"/>
    </xf>
    <xf numFmtId="0" fontId="142" fillId="0" borderId="7" xfId="17" applyFont="1" applyBorder="1" applyAlignment="1">
      <alignment horizontal="left" vertical="center" indent="2"/>
    </xf>
    <xf numFmtId="0" fontId="142" fillId="0" borderId="0" xfId="17" applyFont="1" applyAlignment="1">
      <alignment horizontal="left" vertical="center" indent="2"/>
    </xf>
    <xf numFmtId="0" fontId="142" fillId="0" borderId="5" xfId="17" applyFont="1" applyBorder="1" applyAlignment="1">
      <alignment horizontal="left" vertical="center" indent="2"/>
    </xf>
    <xf numFmtId="0" fontId="142" fillId="0" borderId="7" xfId="17" applyFont="1" applyBorder="1" applyAlignment="1">
      <alignment horizontal="left" vertical="center" indent="1"/>
    </xf>
    <xf numFmtId="0" fontId="142" fillId="0" borderId="0" xfId="17" applyFont="1" applyAlignment="1">
      <alignment horizontal="left" vertical="center" indent="1"/>
    </xf>
    <xf numFmtId="0" fontId="142" fillId="0" borderId="5" xfId="17" applyFont="1" applyBorder="1" applyAlignment="1">
      <alignment horizontal="left" vertical="center" indent="1"/>
    </xf>
    <xf numFmtId="0" fontId="142" fillId="0" borderId="2" xfId="17" applyFont="1" applyBorder="1" applyAlignment="1">
      <alignment horizontal="left" vertical="center" indent="2"/>
    </xf>
    <xf numFmtId="0" fontId="142" fillId="0" borderId="8" xfId="17" applyFont="1" applyBorder="1" applyAlignment="1">
      <alignment horizontal="left" vertical="center" indent="1"/>
    </xf>
    <xf numFmtId="0" fontId="142" fillId="0" borderId="9" xfId="17" applyFont="1" applyBorder="1" applyAlignment="1">
      <alignment horizontal="left" vertical="center" indent="1"/>
    </xf>
    <xf numFmtId="0" fontId="142" fillId="20" borderId="173" xfId="6" applyFont="1" applyFill="1" applyBorder="1" applyAlignment="1">
      <alignment horizontal="center" vertical="center" shrinkToFit="1"/>
    </xf>
    <xf numFmtId="0" fontId="143" fillId="0" borderId="170" xfId="5" applyFont="1" applyBorder="1">
      <alignment vertical="center"/>
    </xf>
    <xf numFmtId="0" fontId="143" fillId="5" borderId="164" xfId="5" applyFont="1" applyFill="1" applyBorder="1" applyAlignment="1">
      <alignment horizontal="center" vertical="center"/>
    </xf>
    <xf numFmtId="0" fontId="142" fillId="0" borderId="0" xfId="6" applyFont="1" applyAlignment="1">
      <alignment horizontal="center" vertical="center"/>
    </xf>
    <xf numFmtId="0" fontId="143" fillId="0" borderId="167" xfId="5" applyFont="1" applyBorder="1" applyAlignment="1">
      <alignment vertical="center" shrinkToFit="1"/>
    </xf>
    <xf numFmtId="0" fontId="143" fillId="0" borderId="174" xfId="5" applyFont="1" applyBorder="1" applyAlignment="1">
      <alignment vertical="center" shrinkToFit="1"/>
    </xf>
    <xf numFmtId="0" fontId="143" fillId="0" borderId="0" xfId="5" applyFont="1">
      <alignment vertical="center"/>
    </xf>
    <xf numFmtId="0" fontId="142" fillId="20" borderId="37" xfId="6" applyFont="1" applyFill="1" applyBorder="1" applyAlignment="1">
      <alignment horizontal="center" vertical="center" shrinkToFit="1"/>
    </xf>
    <xf numFmtId="0" fontId="143" fillId="0" borderId="165" xfId="5" applyFont="1" applyBorder="1">
      <alignment vertical="center"/>
    </xf>
    <xf numFmtId="0" fontId="142" fillId="7" borderId="175" xfId="6" applyFont="1" applyFill="1" applyBorder="1">
      <alignment vertical="center"/>
    </xf>
    <xf numFmtId="0" fontId="142" fillId="0" borderId="7" xfId="6" applyFont="1" applyBorder="1" applyAlignment="1">
      <alignment horizontal="center" vertical="center"/>
    </xf>
    <xf numFmtId="0" fontId="142" fillId="0" borderId="176" xfId="6" applyFont="1" applyBorder="1" applyAlignment="1">
      <alignment vertical="center" shrinkToFit="1"/>
    </xf>
    <xf numFmtId="0" fontId="142" fillId="0" borderId="7" xfId="6" applyFont="1" applyBorder="1" applyAlignment="1">
      <alignment vertical="center" shrinkToFit="1"/>
    </xf>
    <xf numFmtId="0" fontId="142" fillId="0" borderId="0" xfId="6" applyFont="1" applyAlignment="1">
      <alignment vertical="center" shrinkToFit="1"/>
    </xf>
    <xf numFmtId="0" fontId="142" fillId="0" borderId="169" xfId="6" applyFont="1" applyBorder="1" applyAlignment="1">
      <alignment vertical="center" shrinkToFit="1"/>
    </xf>
    <xf numFmtId="0" fontId="142" fillId="0" borderId="172" xfId="6" applyFont="1" applyBorder="1" applyAlignment="1">
      <alignment vertical="center" shrinkToFit="1"/>
    </xf>
    <xf numFmtId="0" fontId="142" fillId="7" borderId="0" xfId="6" applyFont="1" applyFill="1">
      <alignment vertical="center"/>
    </xf>
    <xf numFmtId="0" fontId="143" fillId="0" borderId="177" xfId="5" applyFont="1" applyBorder="1">
      <alignment vertical="center"/>
    </xf>
    <xf numFmtId="0" fontId="142" fillId="7" borderId="178" xfId="6" applyFont="1" applyFill="1" applyBorder="1">
      <alignment vertical="center"/>
    </xf>
    <xf numFmtId="0" fontId="142" fillId="7" borderId="179" xfId="6" applyFont="1" applyFill="1" applyBorder="1">
      <alignment vertical="center"/>
    </xf>
    <xf numFmtId="0" fontId="148" fillId="21" borderId="0" xfId="5" applyFont="1" applyFill="1">
      <alignment vertical="center"/>
    </xf>
    <xf numFmtId="0" fontId="148" fillId="21" borderId="0" xfId="6" applyFont="1" applyFill="1">
      <alignment vertical="center"/>
    </xf>
    <xf numFmtId="0" fontId="6" fillId="0" borderId="0" xfId="0" applyFont="1" applyBorder="1" applyAlignment="1">
      <alignment horizontal="left" vertical="center"/>
    </xf>
    <xf numFmtId="58" fontId="150" fillId="5" borderId="8" xfId="0" applyNumberFormat="1" applyFont="1" applyFill="1" applyBorder="1" applyAlignment="1">
      <alignment horizontal="centerContinuous" vertical="center"/>
    </xf>
    <xf numFmtId="0" fontId="118" fillId="0" borderId="77" xfId="0" applyFont="1" applyBorder="1" applyAlignment="1">
      <alignment horizontal="center" vertical="center" wrapText="1"/>
    </xf>
    <xf numFmtId="204" fontId="90" fillId="7" borderId="38" xfId="2" applyNumberFormat="1" applyFont="1" applyFill="1" applyBorder="1" applyAlignment="1" applyProtection="1">
      <alignment vertical="center" shrinkToFit="1"/>
    </xf>
    <xf numFmtId="177" fontId="90" fillId="16" borderId="30" xfId="0" applyNumberFormat="1" applyFont="1" applyFill="1" applyBorder="1" applyAlignment="1">
      <alignment horizontal="center" vertical="center" shrinkToFit="1"/>
    </xf>
    <xf numFmtId="177" fontId="90" fillId="16" borderId="37" xfId="0" applyNumberFormat="1" applyFont="1" applyFill="1" applyBorder="1" applyAlignment="1">
      <alignment horizontal="center" vertical="center" shrinkToFit="1"/>
    </xf>
    <xf numFmtId="177" fontId="90" fillId="16" borderId="21" xfId="0" applyNumberFormat="1" applyFont="1" applyFill="1" applyBorder="1" applyAlignment="1">
      <alignment horizontal="center" vertical="center" shrinkToFit="1"/>
    </xf>
    <xf numFmtId="179" fontId="90" fillId="16" borderId="30" xfId="0" applyNumberFormat="1" applyFont="1" applyFill="1" applyBorder="1" applyAlignment="1">
      <alignment horizontal="center" vertical="center" shrinkToFit="1"/>
    </xf>
    <xf numFmtId="179" fontId="90" fillId="16" borderId="37" xfId="0" applyNumberFormat="1" applyFont="1" applyFill="1" applyBorder="1" applyAlignment="1">
      <alignment horizontal="center" vertical="center" shrinkToFit="1"/>
    </xf>
    <xf numFmtId="0" fontId="8" fillId="0" borderId="0" xfId="0" applyFont="1" applyAlignment="1">
      <alignment horizontal="right" vertical="center"/>
    </xf>
    <xf numFmtId="196" fontId="90" fillId="16" borderId="30" xfId="0" applyNumberFormat="1" applyFont="1" applyFill="1" applyBorder="1" applyAlignment="1">
      <alignment horizontal="center" vertical="center" shrinkToFit="1"/>
    </xf>
    <xf numFmtId="196" fontId="90" fillId="16" borderId="37" xfId="0" applyNumberFormat="1" applyFont="1" applyFill="1" applyBorder="1" applyAlignment="1">
      <alignment horizontal="center" vertical="center" shrinkToFit="1"/>
    </xf>
    <xf numFmtId="196" fontId="90" fillId="16" borderId="21" xfId="0" applyNumberFormat="1" applyFont="1" applyFill="1" applyBorder="1" applyAlignment="1">
      <alignment horizontal="center" vertical="center" shrinkToFit="1"/>
    </xf>
    <xf numFmtId="196" fontId="8" fillId="0" borderId="0" xfId="0" applyNumberFormat="1" applyFont="1">
      <alignment vertical="center"/>
    </xf>
    <xf numFmtId="179" fontId="90" fillId="16" borderId="21" xfId="0" applyNumberFormat="1" applyFont="1" applyFill="1" applyBorder="1" applyAlignment="1">
      <alignment horizontal="center" vertical="center" shrinkToFit="1"/>
    </xf>
    <xf numFmtId="0" fontId="13" fillId="0" borderId="0" xfId="0" applyFont="1" applyAlignment="1">
      <alignment horizontal="left" vertical="center"/>
    </xf>
    <xf numFmtId="0" fontId="13" fillId="0" borderId="11" xfId="0" applyFont="1" applyBorder="1" applyAlignment="1">
      <alignment horizontal="left" vertical="center"/>
    </xf>
    <xf numFmtId="0" fontId="6" fillId="3" borderId="0" xfId="0" applyFont="1" applyFill="1" applyAlignment="1">
      <alignment vertical="center"/>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1" fillId="0" borderId="38" xfId="0" applyFont="1" applyBorder="1" applyAlignment="1">
      <alignment horizontal="left" vertical="center" shrinkToFit="1"/>
    </xf>
    <xf numFmtId="0" fontId="11" fillId="0" borderId="40" xfId="0" applyFont="1" applyBorder="1" applyAlignment="1">
      <alignment horizontal="left" vertical="center" shrinkToFit="1"/>
    </xf>
    <xf numFmtId="0" fontId="12" fillId="7" borderId="0" xfId="0" applyFont="1" applyFill="1" applyAlignment="1">
      <alignment vertical="center" shrinkToFit="1"/>
    </xf>
    <xf numFmtId="0" fontId="12" fillId="5" borderId="0" xfId="0" applyFont="1" applyFill="1" applyAlignment="1">
      <alignment vertical="center" wrapText="1"/>
    </xf>
    <xf numFmtId="0" fontId="12" fillId="16" borderId="0" xfId="0" applyFont="1" applyFill="1" applyAlignment="1">
      <alignment horizontal="left" vertical="center" shrinkToFit="1"/>
    </xf>
    <xf numFmtId="0" fontId="11" fillId="0" borderId="6" xfId="0" applyFont="1" applyBorder="1" applyAlignment="1">
      <alignment horizontal="left" vertical="center" wrapText="1"/>
    </xf>
    <xf numFmtId="0" fontId="11" fillId="0" borderId="41"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42"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1" fillId="0" borderId="38" xfId="0" applyFont="1" applyBorder="1" applyAlignment="1">
      <alignment vertical="center" shrinkToFit="1"/>
    </xf>
    <xf numFmtId="0" fontId="11" fillId="0" borderId="40" xfId="0" applyFont="1" applyBorder="1" applyAlignment="1">
      <alignment vertical="center" shrinkToFit="1"/>
    </xf>
    <xf numFmtId="0" fontId="5" fillId="0" borderId="38" xfId="0" applyFont="1" applyBorder="1" applyAlignment="1">
      <alignment horizontal="left" vertical="center" wrapText="1"/>
    </xf>
    <xf numFmtId="0" fontId="5" fillId="0" borderId="40" xfId="0" applyFont="1" applyBorder="1" applyAlignment="1">
      <alignment horizontal="left" vertical="center" wrapText="1"/>
    </xf>
    <xf numFmtId="0" fontId="11" fillId="0" borderId="38" xfId="0" applyFont="1" applyBorder="1" applyAlignment="1">
      <alignment horizontal="center" vertical="center" shrinkToFit="1"/>
    </xf>
    <xf numFmtId="0" fontId="11" fillId="0" borderId="40" xfId="0" applyFont="1" applyBorder="1" applyAlignment="1">
      <alignment horizontal="center" vertical="center" shrinkToFit="1"/>
    </xf>
    <xf numFmtId="0" fontId="5" fillId="0" borderId="6" xfId="0" applyFont="1" applyBorder="1" applyAlignment="1">
      <alignment horizontal="left" vertical="center"/>
    </xf>
    <xf numFmtId="0" fontId="5" fillId="0" borderId="41"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wrapText="1"/>
    </xf>
    <xf numFmtId="0" fontId="5" fillId="0" borderId="41"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13" fillId="0" borderId="0" xfId="0" applyFont="1" applyAlignment="1">
      <alignment horizontal="left" vertical="center" wrapText="1"/>
    </xf>
    <xf numFmtId="0" fontId="133" fillId="7" borderId="13" xfId="0" applyFont="1" applyFill="1" applyBorder="1" applyAlignment="1">
      <alignment vertical="center"/>
    </xf>
    <xf numFmtId="0" fontId="133" fillId="7" borderId="14" xfId="0" applyFont="1" applyFill="1" applyBorder="1" applyAlignment="1">
      <alignment vertical="center"/>
    </xf>
    <xf numFmtId="0" fontId="137" fillId="0"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6" fillId="2" borderId="38" xfId="0" applyFont="1" applyFill="1" applyBorder="1" applyAlignment="1">
      <alignment horizontal="center" vertical="center"/>
    </xf>
    <xf numFmtId="0" fontId="6" fillId="2" borderId="40" xfId="0" applyFont="1" applyFill="1" applyBorder="1" applyAlignment="1">
      <alignment horizontal="center" vertical="center"/>
    </xf>
    <xf numFmtId="0" fontId="11" fillId="0" borderId="38" xfId="0" applyFont="1" applyBorder="1" applyAlignment="1">
      <alignment horizontal="left" vertical="center" wrapText="1" shrinkToFit="1"/>
    </xf>
    <xf numFmtId="0" fontId="8" fillId="0" borderId="0" xfId="0" applyFont="1" applyAlignment="1">
      <alignment horizontal="center" vertical="center"/>
    </xf>
    <xf numFmtId="0" fontId="28" fillId="4" borderId="12"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75"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4" xfId="0" applyFont="1" applyFill="1" applyBorder="1" applyAlignment="1">
      <alignment horizontal="center" vertical="center"/>
    </xf>
    <xf numFmtId="0" fontId="113" fillId="4" borderId="134" xfId="0" applyFont="1" applyFill="1" applyBorder="1" applyAlignment="1">
      <alignment horizontal="center" vertical="center" wrapText="1"/>
    </xf>
    <xf numFmtId="0" fontId="113" fillId="4" borderId="135" xfId="0" applyFont="1" applyFill="1" applyBorder="1" applyAlignment="1">
      <alignment horizontal="center" vertical="center" wrapText="1"/>
    </xf>
    <xf numFmtId="0" fontId="113" fillId="4" borderId="136" xfId="0" applyFont="1" applyFill="1" applyBorder="1" applyAlignment="1">
      <alignment horizontal="center" vertical="center" wrapText="1"/>
    </xf>
    <xf numFmtId="0" fontId="8" fillId="0" borderId="0" xfId="0" applyFont="1" applyAlignment="1">
      <alignment horizontal="left" vertical="center"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97" xfId="0" applyFont="1" applyBorder="1" applyAlignment="1">
      <alignment horizontal="left" vertical="top" wrapText="1"/>
    </xf>
    <xf numFmtId="0" fontId="9" fillId="0" borderId="96" xfId="0" applyFont="1" applyBorder="1" applyAlignment="1">
      <alignment horizontal="left" vertical="top" wrapText="1"/>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83" xfId="0" applyFont="1" applyBorder="1" applyAlignment="1">
      <alignment horizontal="left" vertical="center"/>
    </xf>
    <xf numFmtId="0" fontId="8" fillId="0" borderId="31" xfId="0" applyFont="1" applyBorder="1" applyAlignment="1">
      <alignment horizontal="left" vertical="center"/>
    </xf>
    <xf numFmtId="0" fontId="8" fillId="0" borderId="98" xfId="0" applyFont="1" applyBorder="1" applyAlignment="1">
      <alignment horizontal="left" vertical="center"/>
    </xf>
    <xf numFmtId="0" fontId="8" fillId="0" borderId="80" xfId="0" applyFont="1" applyBorder="1" applyAlignment="1">
      <alignment horizontal="left" vertical="center"/>
    </xf>
    <xf numFmtId="0" fontId="8" fillId="0" borderId="46" xfId="0" applyFont="1" applyBorder="1" applyAlignment="1">
      <alignment horizontal="left" vertical="center"/>
    </xf>
    <xf numFmtId="0" fontId="8" fillId="0" borderId="100" xfId="0" applyFont="1" applyBorder="1" applyAlignment="1">
      <alignment horizontal="left" vertical="center"/>
    </xf>
    <xf numFmtId="0" fontId="8" fillId="0" borderId="12" xfId="0" applyFont="1" applyBorder="1" applyAlignment="1">
      <alignment horizontal="left" vertical="top" wrapText="1"/>
    </xf>
    <xf numFmtId="0" fontId="8" fillId="0" borderId="15" xfId="0" applyFont="1" applyBorder="1" applyAlignment="1">
      <alignment horizontal="left" vertical="top"/>
    </xf>
    <xf numFmtId="0" fontId="8" fillId="0" borderId="101" xfId="0" applyFont="1" applyBorder="1" applyAlignment="1">
      <alignment horizontal="left" vertical="top"/>
    </xf>
    <xf numFmtId="0" fontId="8" fillId="0" borderId="65"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56"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9"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01" xfId="0" applyFont="1" applyBorder="1" applyAlignment="1">
      <alignment horizontal="left" vertical="top" wrapText="1"/>
    </xf>
    <xf numFmtId="0" fontId="8" fillId="0" borderId="75" xfId="0" applyFont="1" applyBorder="1" applyAlignment="1">
      <alignment horizontal="left" vertical="top" wrapText="1"/>
    </xf>
    <xf numFmtId="0" fontId="8" fillId="0" borderId="13" xfId="0" applyFont="1" applyBorder="1" applyAlignment="1">
      <alignment horizontal="left" vertical="top" wrapText="1"/>
    </xf>
    <xf numFmtId="0" fontId="8" fillId="0" borderId="102" xfId="0" applyFont="1" applyBorder="1" applyAlignment="1">
      <alignment horizontal="left" vertical="top" wrapText="1"/>
    </xf>
    <xf numFmtId="0" fontId="43" fillId="7" borderId="38" xfId="0" applyFont="1" applyFill="1" applyBorder="1" applyAlignment="1">
      <alignment horizontal="left" vertical="center"/>
    </xf>
    <xf numFmtId="0" fontId="4" fillId="0" borderId="40" xfId="0" applyFont="1" applyBorder="1" applyAlignment="1">
      <alignment vertical="center"/>
    </xf>
    <xf numFmtId="0" fontId="43" fillId="0" borderId="37" xfId="0" applyFont="1" applyBorder="1" applyAlignment="1">
      <alignment horizontal="left" vertical="center" wrapText="1"/>
    </xf>
    <xf numFmtId="0" fontId="4" fillId="0" borderId="37" xfId="0" applyFont="1" applyBorder="1" applyAlignment="1">
      <alignment horizontal="left" vertical="center" wrapText="1"/>
    </xf>
    <xf numFmtId="0" fontId="8" fillId="7" borderId="42" xfId="0" applyFont="1" applyFill="1" applyBorder="1" applyAlignment="1">
      <alignment horizontal="center" vertical="center" shrinkToFit="1"/>
    </xf>
    <xf numFmtId="0" fontId="0" fillId="0" borderId="4" xfId="0" applyBorder="1" applyAlignment="1">
      <alignment horizontal="center" vertical="center"/>
    </xf>
    <xf numFmtId="0" fontId="130" fillId="12" borderId="44" xfId="0" applyFont="1" applyFill="1" applyBorder="1" applyAlignment="1">
      <alignment horizontal="center" vertical="center" shrinkToFit="1"/>
    </xf>
    <xf numFmtId="0" fontId="130" fillId="12" borderId="39" xfId="0" applyFont="1" applyFill="1" applyBorder="1" applyAlignment="1">
      <alignment horizontal="center" vertical="center" shrinkToFit="1"/>
    </xf>
    <xf numFmtId="0" fontId="130" fillId="12" borderId="132" xfId="0" applyFont="1" applyFill="1" applyBorder="1" applyAlignment="1">
      <alignment horizontal="center" vertical="center" shrinkToFit="1"/>
    </xf>
    <xf numFmtId="0" fontId="8" fillId="7" borderId="37" xfId="0" applyFont="1" applyFill="1" applyBorder="1" applyAlignment="1">
      <alignment horizontal="center" vertical="center" shrinkToFit="1"/>
    </xf>
    <xf numFmtId="0" fontId="0" fillId="0" borderId="37"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2" fontId="8" fillId="0" borderId="0" xfId="14" applyNumberFormat="1" applyFont="1" applyAlignment="1">
      <alignment horizontal="right"/>
    </xf>
    <xf numFmtId="0" fontId="108"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37"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16" borderId="38" xfId="12" applyFont="1" applyFill="1" applyBorder="1" applyAlignment="1">
      <alignment horizontal="center" vertical="center"/>
    </xf>
    <xf numFmtId="0" fontId="23" fillId="16" borderId="40" xfId="12" applyFont="1" applyFill="1" applyBorder="1" applyAlignment="1">
      <alignment horizontal="center" vertical="center"/>
    </xf>
    <xf numFmtId="0" fontId="23" fillId="0" borderId="37" xfId="12" applyFont="1" applyBorder="1" applyAlignment="1">
      <alignment vertical="top"/>
    </xf>
    <xf numFmtId="0" fontId="37" fillId="7" borderId="0" xfId="12" applyFont="1" applyFill="1" applyAlignment="1">
      <alignment vertical="center" wrapText="1"/>
    </xf>
    <xf numFmtId="0" fontId="37" fillId="7" borderId="0" xfId="12" applyFont="1" applyFill="1" applyAlignment="1">
      <alignment vertical="center"/>
    </xf>
    <xf numFmtId="0" fontId="23" fillId="7" borderId="38" xfId="12" applyFont="1" applyFill="1" applyBorder="1" applyAlignment="1">
      <alignment horizontal="center" vertical="center"/>
    </xf>
    <xf numFmtId="0" fontId="23" fillId="7" borderId="40" xfId="12" applyFont="1" applyFill="1" applyBorder="1" applyAlignment="1">
      <alignment horizontal="center" vertical="center"/>
    </xf>
    <xf numFmtId="0" fontId="23" fillId="0" borderId="0" xfId="12" applyFont="1" applyAlignment="1">
      <alignment horizontal="center" vertical="center"/>
    </xf>
    <xf numFmtId="20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6" xfId="12" applyFont="1" applyBorder="1" applyAlignment="1">
      <alignment vertical="center"/>
    </xf>
    <xf numFmtId="0" fontId="23" fillId="0" borderId="3" xfId="12" applyFont="1" applyBorder="1" applyAlignment="1">
      <alignment vertical="center"/>
    </xf>
    <xf numFmtId="0" fontId="23" fillId="0" borderId="41" xfId="12" applyFont="1" applyBorder="1" applyAlignment="1">
      <alignment vertical="center"/>
    </xf>
    <xf numFmtId="0" fontId="23" fillId="16" borderId="6" xfId="12" applyFont="1" applyFill="1" applyBorder="1" applyAlignment="1">
      <alignment horizontal="center" vertical="center"/>
    </xf>
    <xf numFmtId="0" fontId="23" fillId="16" borderId="41" xfId="12" applyFont="1" applyFill="1" applyBorder="1" applyAlignment="1">
      <alignment horizontal="center" vertical="center"/>
    </xf>
    <xf numFmtId="0" fontId="23" fillId="16" borderId="7" xfId="12" applyFont="1" applyFill="1" applyBorder="1" applyAlignment="1">
      <alignment horizontal="center" vertical="center"/>
    </xf>
    <xf numFmtId="0" fontId="23" fillId="16" borderId="5" xfId="12" applyFont="1" applyFill="1" applyBorder="1" applyAlignment="1">
      <alignment horizontal="center" vertical="center"/>
    </xf>
    <xf numFmtId="0" fontId="23" fillId="16" borderId="2" xfId="12" applyFont="1" applyFill="1" applyBorder="1" applyAlignment="1">
      <alignment horizontal="center" vertical="center"/>
    </xf>
    <xf numFmtId="0" fontId="23" fillId="16" borderId="9" xfId="12" applyFont="1" applyFill="1" applyBorder="1" applyAlignment="1">
      <alignment horizontal="center" vertical="center"/>
    </xf>
    <xf numFmtId="0" fontId="23" fillId="16" borderId="37" xfId="12" applyFont="1" applyFill="1" applyBorder="1" applyAlignment="1">
      <alignment horizontal="center" vertical="center"/>
    </xf>
    <xf numFmtId="0" fontId="26" fillId="0" borderId="37" xfId="12" applyFont="1" applyBorder="1" applyAlignment="1">
      <alignment vertical="center" wrapText="1"/>
    </xf>
    <xf numFmtId="0" fontId="43" fillId="2" borderId="37" xfId="0" applyFont="1" applyFill="1" applyBorder="1" applyAlignment="1">
      <alignment horizontal="center" vertical="center" wrapText="1"/>
    </xf>
    <xf numFmtId="179" fontId="127" fillId="5" borderId="18" xfId="0" applyNumberFormat="1" applyFont="1" applyFill="1" applyBorder="1" applyAlignment="1">
      <alignment horizontal="right" vertical="center" shrinkToFit="1"/>
    </xf>
    <xf numFmtId="179" fontId="127" fillId="5" borderId="17" xfId="0" applyNumberFormat="1" applyFont="1" applyFill="1" applyBorder="1" applyAlignment="1">
      <alignment horizontal="right" vertical="center" shrinkToFit="1"/>
    </xf>
    <xf numFmtId="184" fontId="91" fillId="5" borderId="6" xfId="2" applyNumberFormat="1" applyFont="1" applyFill="1" applyBorder="1" applyAlignment="1">
      <alignment horizontal="left" vertical="top" wrapText="1"/>
    </xf>
    <xf numFmtId="0" fontId="91" fillId="5" borderId="41" xfId="0" applyFont="1" applyFill="1" applyBorder="1" applyAlignment="1">
      <alignment horizontal="left" vertical="top" wrapText="1"/>
    </xf>
    <xf numFmtId="178" fontId="127" fillId="5" borderId="76" xfId="2" applyNumberFormat="1" applyFont="1" applyFill="1" applyBorder="1" applyAlignment="1">
      <alignment horizontal="right" vertical="center" shrinkToFit="1"/>
    </xf>
    <xf numFmtId="178" fontId="127" fillId="5" borderId="10" xfId="2" applyNumberFormat="1" applyFont="1" applyFill="1" applyBorder="1" applyAlignment="1">
      <alignment horizontal="right" vertical="center" shrinkToFit="1"/>
    </xf>
    <xf numFmtId="181" fontId="9" fillId="16" borderId="2" xfId="0" applyNumberFormat="1" applyFont="1" applyFill="1" applyBorder="1" applyAlignment="1">
      <alignment horizontal="center" vertical="center" shrinkToFit="1"/>
    </xf>
    <xf numFmtId="181" fontId="9" fillId="16" borderId="9" xfId="0" applyNumberFormat="1" applyFont="1" applyFill="1" applyBorder="1" applyAlignment="1">
      <alignment horizontal="center" vertical="center" shrinkToFit="1"/>
    </xf>
    <xf numFmtId="207" fontId="127" fillId="5" borderId="8" xfId="2" applyNumberFormat="1" applyFont="1" applyFill="1" applyBorder="1" applyAlignment="1">
      <alignment horizontal="right" vertical="center" shrinkToFit="1"/>
    </xf>
    <xf numFmtId="207" fontId="127" fillId="5" borderId="9" xfId="2" applyNumberFormat="1" applyFont="1" applyFill="1" applyBorder="1" applyAlignment="1">
      <alignment horizontal="right" vertical="center" shrinkToFit="1"/>
    </xf>
    <xf numFmtId="0" fontId="9" fillId="7" borderId="6" xfId="0" applyFont="1" applyFill="1" applyBorder="1" applyAlignment="1">
      <alignment horizontal="center" vertical="center" shrinkToFit="1"/>
    </xf>
    <xf numFmtId="0" fontId="9" fillId="7" borderId="3" xfId="0" applyFont="1" applyFill="1" applyBorder="1" applyAlignment="1">
      <alignment horizontal="center" vertical="center" shrinkToFit="1"/>
    </xf>
    <xf numFmtId="0" fontId="9" fillId="7" borderId="41" xfId="0" applyFont="1" applyFill="1" applyBorder="1" applyAlignment="1">
      <alignment horizontal="center" vertical="center" shrinkToFit="1"/>
    </xf>
    <xf numFmtId="186" fontId="43" fillId="0" borderId="7"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5" xfId="0" applyNumberFormat="1" applyFont="1" applyBorder="1" applyAlignment="1">
      <alignment horizontal="center" vertical="center"/>
    </xf>
    <xf numFmtId="189" fontId="84" fillId="3" borderId="42" xfId="2" applyNumberFormat="1" applyFont="1" applyFill="1" applyBorder="1" applyAlignment="1">
      <alignment horizontal="right" vertical="center" shrinkToFit="1"/>
    </xf>
    <xf numFmtId="184" fontId="84" fillId="16" borderId="8" xfId="2" applyNumberFormat="1" applyFont="1" applyFill="1" applyBorder="1" applyAlignment="1">
      <alignment horizontal="right" vertical="center" shrinkToFit="1"/>
    </xf>
    <xf numFmtId="184" fontId="84" fillId="16" borderId="9" xfId="2" applyNumberFormat="1" applyFont="1" applyFill="1" applyBorder="1" applyAlignment="1">
      <alignment horizontal="right" vertical="center" shrinkToFit="1"/>
    </xf>
    <xf numFmtId="178" fontId="84" fillId="0" borderId="24" xfId="2" applyNumberFormat="1" applyFont="1" applyFill="1" applyBorder="1" applyAlignment="1">
      <alignment horizontal="center" vertical="center" shrinkToFit="1"/>
    </xf>
    <xf numFmtId="178" fontId="84" fillId="0" borderId="47" xfId="2" applyNumberFormat="1" applyFont="1" applyFill="1" applyBorder="1" applyAlignment="1">
      <alignment horizontal="center" vertical="center" shrinkToFit="1"/>
    </xf>
    <xf numFmtId="178" fontId="84" fillId="0" borderId="25" xfId="2" applyNumberFormat="1" applyFont="1" applyFill="1" applyBorder="1" applyAlignment="1">
      <alignment horizontal="center" vertical="center" shrinkToFit="1"/>
    </xf>
    <xf numFmtId="178" fontId="84" fillId="0" borderId="26" xfId="2" applyNumberFormat="1" applyFont="1" applyFill="1" applyBorder="1" applyAlignment="1">
      <alignment horizontal="center" vertical="center" shrinkToFit="1"/>
    </xf>
    <xf numFmtId="178" fontId="84" fillId="0" borderId="29" xfId="2" applyNumberFormat="1" applyFont="1" applyFill="1" applyBorder="1" applyAlignment="1">
      <alignment horizontal="center" vertical="center" shrinkToFit="1"/>
    </xf>
    <xf numFmtId="178" fontId="84" fillId="0" borderId="27" xfId="2" applyNumberFormat="1" applyFont="1" applyFill="1" applyBorder="1" applyAlignment="1">
      <alignment horizontal="center" vertical="center" shrinkToFit="1"/>
    </xf>
    <xf numFmtId="0" fontId="43" fillId="2" borderId="38"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43" fillId="2" borderId="40" xfId="0" applyFont="1" applyFill="1" applyBorder="1" applyAlignment="1">
      <alignment horizontal="center" vertical="center" wrapText="1"/>
    </xf>
    <xf numFmtId="0" fontId="43" fillId="2" borderId="6"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41" xfId="0" applyFont="1" applyFill="1" applyBorder="1" applyAlignment="1">
      <alignment horizontal="center" vertical="center" wrapText="1" shrinkToFit="1"/>
    </xf>
    <xf numFmtId="0" fontId="43" fillId="2" borderId="7"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5"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37" xfId="0" applyFont="1" applyFill="1" applyBorder="1" applyAlignment="1">
      <alignment horizontal="center" vertical="center"/>
    </xf>
    <xf numFmtId="0" fontId="43" fillId="2" borderId="42" xfId="0" applyFont="1" applyFill="1" applyBorder="1" applyAlignment="1">
      <alignment horizontal="center" vertical="center" wrapText="1" shrinkToFit="1"/>
    </xf>
    <xf numFmtId="0" fontId="43" fillId="2" borderId="1" xfId="0" applyFont="1" applyFill="1" applyBorder="1" applyAlignment="1">
      <alignment horizontal="center" vertical="center" wrapText="1" shrinkToFit="1"/>
    </xf>
    <xf numFmtId="0" fontId="43" fillId="2" borderId="6" xfId="0" applyFont="1" applyFill="1" applyBorder="1" applyAlignment="1">
      <alignment vertical="center" wrapText="1"/>
    </xf>
    <xf numFmtId="0" fontId="43" fillId="2" borderId="2" xfId="0" applyFont="1" applyFill="1" applyBorder="1" applyAlignment="1">
      <alignment vertical="center" wrapText="1"/>
    </xf>
    <xf numFmtId="178" fontId="127" fillId="16" borderId="1" xfId="2" applyNumberFormat="1" applyFont="1" applyFill="1" applyBorder="1" applyAlignment="1">
      <alignment horizontal="right" vertical="center" shrinkToFit="1"/>
    </xf>
    <xf numFmtId="0" fontId="9" fillId="16" borderId="6" xfId="0" applyFont="1" applyFill="1" applyBorder="1" applyAlignment="1">
      <alignment horizontal="center" vertical="center" shrinkToFit="1"/>
    </xf>
    <xf numFmtId="0" fontId="9" fillId="16" borderId="3" xfId="0" applyFont="1" applyFill="1" applyBorder="1" applyAlignment="1">
      <alignment horizontal="center" vertical="center" shrinkToFit="1"/>
    </xf>
    <xf numFmtId="0" fontId="9" fillId="16" borderId="41" xfId="0" applyFont="1" applyFill="1" applyBorder="1" applyAlignment="1">
      <alignment horizontal="center" vertical="center" shrinkToFit="1"/>
    </xf>
    <xf numFmtId="0" fontId="43" fillId="0" borderId="0" xfId="0" applyFont="1" applyAlignment="1">
      <alignment horizontal="left" vertical="center" wrapText="1" shrinkToFit="1"/>
    </xf>
    <xf numFmtId="190" fontId="84" fillId="16" borderId="9" xfId="2" applyNumberFormat="1" applyFont="1" applyFill="1" applyBorder="1" applyAlignment="1">
      <alignment horizontal="right" vertical="center" shrinkToFit="1"/>
    </xf>
    <xf numFmtId="190" fontId="84" fillId="16" borderId="1" xfId="2" applyNumberFormat="1" applyFont="1" applyFill="1" applyBorder="1" applyAlignment="1">
      <alignment horizontal="right" vertical="center" shrinkToFit="1"/>
    </xf>
    <xf numFmtId="186" fontId="84" fillId="5" borderId="6" xfId="2" applyNumberFormat="1" applyFont="1" applyFill="1" applyBorder="1" applyAlignment="1">
      <alignment horizontal="right" vertical="center" shrinkToFit="1"/>
    </xf>
    <xf numFmtId="186" fontId="84" fillId="5" borderId="41" xfId="2" applyNumberFormat="1" applyFont="1" applyFill="1" applyBorder="1" applyAlignment="1">
      <alignment horizontal="right" vertical="center" shrinkToFit="1"/>
    </xf>
    <xf numFmtId="186" fontId="84" fillId="5" borderId="3" xfId="2" applyNumberFormat="1" applyFont="1" applyFill="1" applyBorder="1" applyAlignment="1">
      <alignment horizontal="right" vertical="center" shrinkToFit="1"/>
    </xf>
    <xf numFmtId="0" fontId="43" fillId="2" borderId="38" xfId="0" applyFont="1" applyFill="1" applyBorder="1" applyAlignment="1">
      <alignment horizontal="center" vertical="center"/>
    </xf>
    <xf numFmtId="0" fontId="43" fillId="2" borderId="39" xfId="0" applyFont="1" applyFill="1" applyBorder="1" applyAlignment="1">
      <alignment horizontal="center" vertical="center"/>
    </xf>
    <xf numFmtId="0" fontId="43" fillId="2" borderId="40" xfId="0" applyFont="1" applyFill="1" applyBorder="1" applyAlignment="1">
      <alignment horizontal="center" vertical="center"/>
    </xf>
    <xf numFmtId="188" fontId="56" fillId="3" borderId="42" xfId="2" applyNumberFormat="1" applyFont="1" applyFill="1" applyBorder="1" applyAlignment="1">
      <alignment horizontal="right" vertical="center" wrapText="1"/>
    </xf>
    <xf numFmtId="182" fontId="84" fillId="16" borderId="2" xfId="2" applyNumberFormat="1" applyFont="1" applyFill="1" applyBorder="1" applyAlignment="1">
      <alignment horizontal="right" vertical="center" shrinkToFit="1"/>
    </xf>
    <xf numFmtId="182" fontId="84" fillId="16" borderId="8" xfId="2" applyNumberFormat="1" applyFont="1" applyFill="1" applyBorder="1" applyAlignment="1">
      <alignment horizontal="right" vertical="center" shrinkToFit="1"/>
    </xf>
    <xf numFmtId="182" fontId="84" fillId="16" borderId="9"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8" fontId="84" fillId="3" borderId="42" xfId="2" applyNumberFormat="1" applyFont="1" applyFill="1" applyBorder="1" applyAlignment="1">
      <alignment horizontal="right" vertical="center" shrinkToFit="1"/>
    </xf>
    <xf numFmtId="181" fontId="9" fillId="5" borderId="6" xfId="0" applyNumberFormat="1" applyFont="1" applyFill="1" applyBorder="1" applyAlignment="1">
      <alignment horizontal="center" vertical="center" shrinkToFit="1"/>
    </xf>
    <xf numFmtId="181" fontId="9" fillId="5" borderId="41" xfId="0" applyNumberFormat="1" applyFont="1" applyFill="1" applyBorder="1" applyAlignment="1">
      <alignment horizontal="center" vertical="center" shrinkToFit="1"/>
    </xf>
    <xf numFmtId="0" fontId="43" fillId="2"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8" fontId="84" fillId="16" borderId="2" xfId="2" applyNumberFormat="1" applyFont="1" applyFill="1" applyBorder="1" applyAlignment="1">
      <alignment horizontal="right" vertical="center" shrinkToFit="1"/>
    </xf>
    <xf numFmtId="178" fontId="84" fillId="16" borderId="8" xfId="2" applyNumberFormat="1" applyFont="1" applyFill="1" applyBorder="1" applyAlignment="1">
      <alignment horizontal="right" vertical="center" shrinkToFit="1"/>
    </xf>
    <xf numFmtId="178" fontId="84" fillId="16" borderId="9"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4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1" xfId="0" applyFont="1" applyFill="1" applyBorder="1" applyAlignment="1">
      <alignment horizontal="center" vertical="center" wrapText="1"/>
    </xf>
    <xf numFmtId="186" fontId="84" fillId="3" borderId="6" xfId="2" applyNumberFormat="1" applyFont="1" applyFill="1" applyBorder="1" applyAlignment="1">
      <alignment horizontal="right" vertical="center" shrinkToFit="1"/>
    </xf>
    <xf numFmtId="186" fontId="84" fillId="3" borderId="3" xfId="2" applyNumberFormat="1" applyFont="1" applyFill="1" applyBorder="1" applyAlignment="1">
      <alignment horizontal="right" vertical="center" shrinkToFit="1"/>
    </xf>
    <xf numFmtId="186" fontId="84" fillId="3" borderId="41" xfId="2" applyNumberFormat="1" applyFont="1" applyFill="1" applyBorder="1" applyAlignment="1">
      <alignment horizontal="right" vertical="center" shrinkToFit="1"/>
    </xf>
    <xf numFmtId="0" fontId="47" fillId="2" borderId="19"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20" xfId="0" applyFont="1" applyFill="1" applyBorder="1" applyAlignment="1">
      <alignment horizontal="center" vertical="center" wrapText="1"/>
    </xf>
    <xf numFmtId="0" fontId="47" fillId="2" borderId="17" xfId="0" applyFont="1" applyFill="1" applyBorder="1" applyAlignment="1">
      <alignment horizontal="center" vertical="center" wrapText="1"/>
    </xf>
    <xf numFmtId="0" fontId="8" fillId="8" borderId="37" xfId="0" applyFont="1" applyFill="1" applyBorder="1" applyAlignment="1">
      <alignment horizontal="center" vertical="center" shrinkToFit="1"/>
    </xf>
    <xf numFmtId="0" fontId="22" fillId="2" borderId="39" xfId="0" applyFont="1" applyFill="1" applyBorder="1" applyAlignment="1">
      <alignment horizontal="center" vertical="center" wrapText="1" shrinkToFit="1"/>
    </xf>
    <xf numFmtId="0" fontId="22" fillId="2" borderId="39" xfId="0" applyFont="1" applyFill="1" applyBorder="1" applyAlignment="1">
      <alignment horizontal="center" vertical="center" shrinkToFit="1"/>
    </xf>
    <xf numFmtId="0" fontId="22" fillId="2" borderId="40" xfId="0" applyFont="1" applyFill="1" applyBorder="1" applyAlignment="1">
      <alignment horizontal="center" vertical="center" shrinkToFit="1"/>
    </xf>
    <xf numFmtId="181" fontId="9" fillId="16" borderId="6" xfId="0" applyNumberFormat="1" applyFont="1" applyFill="1" applyBorder="1" applyAlignment="1">
      <alignment horizontal="center" vertical="center" shrinkToFit="1"/>
    </xf>
    <xf numFmtId="181" fontId="9" fillId="16" borderId="41" xfId="0" applyNumberFormat="1" applyFont="1" applyFill="1" applyBorder="1" applyAlignment="1">
      <alignment horizontal="center" vertical="center" shrinkToFit="1"/>
    </xf>
    <xf numFmtId="0" fontId="8" fillId="8" borderId="37" xfId="0" applyFont="1" applyFill="1" applyBorder="1" applyAlignment="1">
      <alignment vertical="center"/>
    </xf>
    <xf numFmtId="0" fontId="9" fillId="8" borderId="38" xfId="0" applyFont="1" applyFill="1" applyBorder="1" applyAlignment="1">
      <alignment vertical="center"/>
    </xf>
    <xf numFmtId="0" fontId="9" fillId="8" borderId="39" xfId="0" applyFont="1" applyFill="1" applyBorder="1" applyAlignment="1">
      <alignment vertical="center"/>
    </xf>
    <xf numFmtId="0" fontId="9" fillId="8" borderId="40" xfId="0" applyFont="1" applyFill="1" applyBorder="1" applyAlignment="1">
      <alignment vertical="center"/>
    </xf>
    <xf numFmtId="0" fontId="43" fillId="2" borderId="42" xfId="0" applyFont="1" applyFill="1" applyBorder="1" applyAlignment="1">
      <alignment vertical="center" wrapText="1"/>
    </xf>
    <xf numFmtId="0" fontId="43" fillId="2" borderId="1" xfId="0" applyFont="1" applyFill="1" applyBorder="1" applyAlignment="1">
      <alignment vertical="center" wrapText="1"/>
    </xf>
    <xf numFmtId="0" fontId="43" fillId="2" borderId="6" xfId="0" applyFont="1" applyFill="1" applyBorder="1" applyAlignment="1">
      <alignment vertical="center" wrapText="1" shrinkToFit="1"/>
    </xf>
    <xf numFmtId="0" fontId="43" fillId="2" borderId="41" xfId="0" applyFont="1" applyFill="1" applyBorder="1" applyAlignment="1">
      <alignment vertical="center" wrapText="1" shrinkToFit="1"/>
    </xf>
    <xf numFmtId="0" fontId="43" fillId="2" borderId="2" xfId="0" applyFont="1" applyFill="1" applyBorder="1" applyAlignment="1">
      <alignment vertical="center" wrapText="1" shrinkToFit="1"/>
    </xf>
    <xf numFmtId="0" fontId="43" fillId="2" borderId="9" xfId="0" applyFont="1" applyFill="1" applyBorder="1" applyAlignment="1">
      <alignment vertical="center" wrapText="1" shrinkToFit="1"/>
    </xf>
    <xf numFmtId="0" fontId="43" fillId="0" borderId="0" xfId="0" applyFont="1" applyAlignment="1">
      <alignment vertical="center" wrapText="1"/>
    </xf>
    <xf numFmtId="181" fontId="19" fillId="5" borderId="2" xfId="0" applyNumberFormat="1" applyFont="1" applyFill="1" applyBorder="1" applyAlignment="1">
      <alignment horizontal="center" vertical="center" shrinkToFit="1"/>
    </xf>
    <xf numFmtId="181" fontId="19" fillId="5" borderId="9" xfId="0" applyNumberFormat="1" applyFont="1" applyFill="1" applyBorder="1" applyAlignment="1">
      <alignment horizontal="center" vertical="center" shrinkToFit="1"/>
    </xf>
    <xf numFmtId="0" fontId="47" fillId="16" borderId="6"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43" fillId="8" borderId="37" xfId="0" applyFont="1" applyFill="1" applyBorder="1" applyAlignment="1">
      <alignment horizontal="center" vertical="center" shrinkToFit="1"/>
    </xf>
    <xf numFmtId="0" fontId="18" fillId="5" borderId="33" xfId="0" applyFont="1" applyFill="1" applyBorder="1" applyAlignment="1">
      <alignment horizontal="center" vertical="center"/>
    </xf>
    <xf numFmtId="0" fontId="18" fillId="5" borderId="36" xfId="0" applyFont="1" applyFill="1" applyBorder="1" applyAlignment="1">
      <alignment horizontal="center" vertical="center"/>
    </xf>
    <xf numFmtId="0" fontId="90" fillId="7" borderId="33" xfId="0" applyFont="1" applyFill="1" applyBorder="1" applyAlignment="1">
      <alignment horizontal="center" vertical="center"/>
    </xf>
    <xf numFmtId="0" fontId="90" fillId="7" borderId="36" xfId="0" applyFont="1" applyFill="1" applyBorder="1" applyAlignment="1">
      <alignment horizontal="center" vertical="center"/>
    </xf>
    <xf numFmtId="0" fontId="19" fillId="0" borderId="33" xfId="0" applyFont="1" applyBorder="1" applyAlignment="1">
      <alignment horizontal="center" vertical="center"/>
    </xf>
    <xf numFmtId="0" fontId="19" fillId="0" borderId="36"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0" fontId="47" fillId="16" borderId="3" xfId="0" applyFont="1" applyFill="1" applyBorder="1" applyAlignment="1">
      <alignment horizontal="center" vertical="center" shrinkToFit="1"/>
    </xf>
    <xf numFmtId="0" fontId="47" fillId="16" borderId="41" xfId="0" applyFont="1" applyFill="1" applyBorder="1" applyAlignment="1">
      <alignment horizontal="center" vertical="center" shrinkToFit="1"/>
    </xf>
    <xf numFmtId="186" fontId="84" fillId="0" borderId="6" xfId="2" applyNumberFormat="1" applyFont="1" applyFill="1" applyBorder="1" applyAlignment="1">
      <alignment horizontal="right" vertical="center" shrinkToFit="1"/>
    </xf>
    <xf numFmtId="186" fontId="84" fillId="0" borderId="3" xfId="2" applyNumberFormat="1" applyFont="1" applyFill="1" applyBorder="1" applyAlignment="1">
      <alignment horizontal="right" vertical="center" shrinkToFit="1"/>
    </xf>
    <xf numFmtId="186" fontId="84" fillId="0" borderId="28" xfId="2" applyNumberFormat="1" applyFont="1" applyFill="1" applyBorder="1" applyAlignment="1">
      <alignment horizontal="right" vertical="center" shrinkToFit="1"/>
    </xf>
    <xf numFmtId="185" fontId="84" fillId="16" borderId="2" xfId="2" applyNumberFormat="1" applyFont="1" applyFill="1" applyBorder="1" applyAlignment="1">
      <alignment horizontal="right" vertical="center" shrinkToFit="1"/>
    </xf>
    <xf numFmtId="185" fontId="84" fillId="16" borderId="8" xfId="2" applyNumberFormat="1" applyFont="1" applyFill="1" applyBorder="1" applyAlignment="1">
      <alignment horizontal="right" vertical="center" shrinkToFit="1"/>
    </xf>
    <xf numFmtId="185" fontId="84" fillId="16" borderId="23" xfId="2" applyNumberFormat="1" applyFont="1" applyFill="1" applyBorder="1" applyAlignment="1">
      <alignment horizontal="right" vertical="center" shrinkToFit="1"/>
    </xf>
    <xf numFmtId="207" fontId="127" fillId="5" borderId="7" xfId="2" applyNumberFormat="1" applyFont="1" applyFill="1" applyBorder="1" applyAlignment="1">
      <alignment horizontal="right" vertical="center" shrinkToFit="1"/>
    </xf>
    <xf numFmtId="207" fontId="127" fillId="5" borderId="0" xfId="2" applyNumberFormat="1" applyFont="1" applyFill="1" applyBorder="1" applyAlignment="1">
      <alignment horizontal="right" vertical="center" shrinkToFit="1"/>
    </xf>
    <xf numFmtId="207" fontId="127" fillId="5" borderId="5" xfId="2" applyNumberFormat="1" applyFont="1" applyFill="1" applyBorder="1" applyAlignment="1">
      <alignment horizontal="right" vertical="center" shrinkToFit="1"/>
    </xf>
    <xf numFmtId="207" fontId="127" fillId="5" borderId="2" xfId="2" applyNumberFormat="1" applyFont="1" applyFill="1" applyBorder="1" applyAlignment="1">
      <alignment horizontal="right" vertical="center" shrinkToFit="1"/>
    </xf>
    <xf numFmtId="0" fontId="22" fillId="2" borderId="38" xfId="0" applyFont="1" applyFill="1" applyBorder="1" applyAlignment="1">
      <alignment horizontal="center" vertical="center" shrinkToFit="1"/>
    </xf>
    <xf numFmtId="0" fontId="22" fillId="2" borderId="38"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65" fillId="2" borderId="6" xfId="0" applyFont="1" applyFill="1" applyBorder="1" applyAlignment="1">
      <alignment horizontal="center" vertical="center" wrapText="1" shrinkToFit="1"/>
    </xf>
    <xf numFmtId="0" fontId="65" fillId="2" borderId="3" xfId="0" applyFont="1" applyFill="1" applyBorder="1" applyAlignment="1">
      <alignment horizontal="center" vertical="center" wrapText="1" shrinkToFit="1"/>
    </xf>
    <xf numFmtId="0" fontId="65" fillId="2" borderId="41" xfId="0" applyFont="1" applyFill="1" applyBorder="1" applyAlignment="1">
      <alignment horizontal="center" vertical="center" wrapText="1" shrinkToFit="1"/>
    </xf>
    <xf numFmtId="0" fontId="65" fillId="2" borderId="2" xfId="0" applyFont="1" applyFill="1" applyBorder="1" applyAlignment="1">
      <alignment horizontal="center" vertical="center" wrapText="1" shrinkToFit="1"/>
    </xf>
    <xf numFmtId="0" fontId="65" fillId="2" borderId="8" xfId="0" applyFont="1" applyFill="1" applyBorder="1" applyAlignment="1">
      <alignment horizontal="center" vertical="center" wrapText="1" shrinkToFit="1"/>
    </xf>
    <xf numFmtId="0" fontId="65" fillId="2" borderId="9" xfId="0" applyFont="1" applyFill="1" applyBorder="1" applyAlignment="1">
      <alignment horizontal="center" vertical="center" wrapText="1" shrinkToFit="1"/>
    </xf>
    <xf numFmtId="189" fontId="56" fillId="3" borderId="42" xfId="2" applyNumberFormat="1" applyFont="1" applyFill="1" applyBorder="1" applyAlignment="1">
      <alignment horizontal="right" vertical="center" wrapText="1"/>
    </xf>
    <xf numFmtId="0" fontId="9" fillId="8" borderId="38" xfId="0" applyFont="1" applyFill="1" applyBorder="1" applyAlignment="1">
      <alignment vertical="center" shrinkToFit="1"/>
    </xf>
    <xf numFmtId="0" fontId="9" fillId="8" borderId="39" xfId="0" applyFont="1" applyFill="1" applyBorder="1" applyAlignment="1">
      <alignment vertical="center" shrinkToFit="1"/>
    </xf>
    <xf numFmtId="0" fontId="9" fillId="8" borderId="40" xfId="0" applyFont="1" applyFill="1" applyBorder="1" applyAlignment="1">
      <alignment vertical="center" shrinkToFit="1"/>
    </xf>
    <xf numFmtId="0" fontId="47" fillId="2" borderId="6" xfId="0" applyFont="1" applyFill="1" applyBorder="1" applyAlignment="1">
      <alignment horizontal="center" wrapText="1"/>
    </xf>
    <xf numFmtId="0" fontId="47" fillId="2" borderId="41" xfId="0" applyFont="1" applyFill="1" applyBorder="1" applyAlignment="1">
      <alignment horizontal="center" wrapText="1"/>
    </xf>
    <xf numFmtId="0" fontId="47" fillId="2" borderId="7" xfId="0" applyFont="1" applyFill="1" applyBorder="1" applyAlignment="1">
      <alignment horizontal="center" wrapText="1"/>
    </xf>
    <xf numFmtId="0" fontId="47" fillId="2" borderId="5" xfId="0" applyFont="1" applyFill="1" applyBorder="1" applyAlignment="1">
      <alignment horizontal="center" wrapText="1"/>
    </xf>
    <xf numFmtId="0" fontId="43" fillId="2" borderId="38" xfId="0" applyFont="1" applyFill="1" applyBorder="1" applyAlignment="1">
      <alignment vertical="center"/>
    </xf>
    <xf numFmtId="0" fontId="43" fillId="2" borderId="40" xfId="0" applyFont="1" applyFill="1" applyBorder="1" applyAlignme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42" xfId="0" applyFont="1" applyBorder="1" applyAlignment="1">
      <alignment horizontal="center" vertical="center"/>
    </xf>
    <xf numFmtId="0" fontId="8" fillId="0" borderId="4" xfId="0" applyFont="1" applyBorder="1" applyAlignment="1">
      <alignment horizontal="center" vertical="center"/>
    </xf>
    <xf numFmtId="0" fontId="8" fillId="0" borderId="92" xfId="0" applyFont="1" applyBorder="1" applyAlignment="1">
      <alignment horizontal="center" vertical="center"/>
    </xf>
    <xf numFmtId="0" fontId="8" fillId="0" borderId="42" xfId="0" applyFont="1" applyBorder="1" applyAlignment="1">
      <alignment horizontal="center" vertical="center" wrapText="1"/>
    </xf>
    <xf numFmtId="0" fontId="32" fillId="0" borderId="0" xfId="15" applyFont="1" applyAlignment="1" applyProtection="1">
      <alignment horizontal="center" vertical="center"/>
      <protection locked="0"/>
    </xf>
    <xf numFmtId="0" fontId="85" fillId="0" borderId="0" xfId="0" applyFont="1" applyAlignment="1">
      <alignment horizontal="left" vertical="center" wrapText="1"/>
    </xf>
    <xf numFmtId="0" fontId="28" fillId="0" borderId="6"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33" fillId="0" borderId="6"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 xfId="0" applyFont="1" applyBorder="1" applyAlignment="1">
      <alignment horizontal="center" vertical="center"/>
    </xf>
    <xf numFmtId="0" fontId="33" fillId="0" borderId="41" xfId="0" applyFont="1" applyBorder="1" applyAlignment="1">
      <alignment horizontal="center" vertical="center"/>
    </xf>
    <xf numFmtId="0" fontId="8" fillId="0" borderId="92" xfId="0" applyFont="1" applyBorder="1" applyAlignment="1">
      <alignment horizontal="center" vertical="center" wrapText="1"/>
    </xf>
    <xf numFmtId="0" fontId="8" fillId="0" borderId="37" xfId="0" applyFont="1" applyBorder="1" applyAlignment="1">
      <alignment horizontal="center" vertical="center" wrapText="1"/>
    </xf>
    <xf numFmtId="0" fontId="32" fillId="0" borderId="37" xfId="15" applyFont="1" applyBorder="1" applyAlignment="1" applyProtection="1">
      <alignment horizontal="center" vertical="center" wrapText="1"/>
      <protection locked="0"/>
    </xf>
    <xf numFmtId="0" fontId="33" fillId="0" borderId="38" xfId="0" applyFont="1" applyBorder="1" applyAlignment="1">
      <alignment horizontal="center" vertical="center"/>
    </xf>
    <xf numFmtId="0" fontId="92" fillId="7" borderId="0" xfId="0" applyFont="1" applyFill="1" applyAlignment="1">
      <alignment vertical="center"/>
    </xf>
    <xf numFmtId="0" fontId="60" fillId="10" borderId="39" xfId="14" applyFont="1" applyFill="1" applyBorder="1" applyAlignment="1">
      <alignment vertical="center"/>
    </xf>
    <xf numFmtId="0" fontId="60" fillId="10" borderId="40" xfId="14" applyFont="1" applyFill="1" applyBorder="1" applyAlignment="1">
      <alignment vertical="center"/>
    </xf>
    <xf numFmtId="0" fontId="60" fillId="10" borderId="38" xfId="14" applyFont="1" applyFill="1" applyBorder="1" applyAlignment="1">
      <alignment horizontal="center" vertical="center"/>
    </xf>
    <xf numFmtId="0" fontId="60" fillId="10" borderId="39" xfId="14" applyFont="1" applyFill="1" applyBorder="1" applyAlignment="1">
      <alignment horizontal="center" vertical="center"/>
    </xf>
    <xf numFmtId="0" fontId="8" fillId="5" borderId="0" xfId="0" applyFont="1" applyFill="1" applyAlignment="1">
      <alignment vertical="center"/>
    </xf>
    <xf numFmtId="0" fontId="38" fillId="0" borderId="6" xfId="0" applyFont="1" applyBorder="1" applyAlignment="1">
      <alignment horizontal="left" vertical="top" wrapText="1"/>
    </xf>
    <xf numFmtId="0" fontId="38" fillId="0" borderId="3" xfId="0" applyFont="1" applyBorder="1" applyAlignment="1">
      <alignment horizontal="left" vertical="top" wrapText="1"/>
    </xf>
    <xf numFmtId="0" fontId="38" fillId="0" borderId="41" xfId="0" applyFont="1" applyBorder="1" applyAlignment="1">
      <alignment horizontal="left" vertical="top" wrapText="1"/>
    </xf>
    <xf numFmtId="0" fontId="38" fillId="0" borderId="7" xfId="0" applyFont="1" applyBorder="1" applyAlignment="1">
      <alignment horizontal="left" vertical="top" wrapText="1"/>
    </xf>
    <xf numFmtId="0" fontId="38" fillId="0" borderId="0" xfId="0" applyFont="1" applyAlignment="1">
      <alignment horizontal="left" vertical="top" wrapText="1"/>
    </xf>
    <xf numFmtId="0" fontId="38" fillId="0" borderId="5" xfId="0" applyFont="1" applyBorder="1" applyAlignment="1">
      <alignment horizontal="left" vertical="top" wrapText="1"/>
    </xf>
    <xf numFmtId="0" fontId="38" fillId="0" borderId="2" xfId="0" applyFont="1" applyBorder="1" applyAlignment="1">
      <alignment horizontal="left" vertical="top" wrapText="1"/>
    </xf>
    <xf numFmtId="0" fontId="38" fillId="0" borderId="8" xfId="0" applyFont="1" applyBorder="1" applyAlignment="1">
      <alignment horizontal="left" vertical="top" wrapText="1"/>
    </xf>
    <xf numFmtId="0" fontId="38" fillId="0" borderId="9" xfId="0" applyFont="1" applyBorder="1" applyAlignment="1">
      <alignment horizontal="left" vertical="top" wrapText="1"/>
    </xf>
    <xf numFmtId="192" fontId="92" fillId="7" borderId="38" xfId="0" applyNumberFormat="1" applyFont="1" applyFill="1" applyBorder="1" applyAlignment="1">
      <alignment horizontal="right" vertical="center" wrapText="1"/>
    </xf>
    <xf numFmtId="192" fontId="18" fillId="7" borderId="39" xfId="0" applyNumberFormat="1" applyFont="1" applyFill="1" applyBorder="1" applyAlignment="1">
      <alignment horizontal="right" vertical="center" wrapText="1"/>
    </xf>
    <xf numFmtId="192" fontId="18" fillId="7" borderId="40" xfId="0" applyNumberFormat="1" applyFont="1" applyFill="1" applyBorder="1" applyAlignment="1">
      <alignment horizontal="right" vertical="center" wrapText="1"/>
    </xf>
    <xf numFmtId="0" fontId="96" fillId="7" borderId="37" xfId="0" applyFont="1" applyFill="1" applyBorder="1" applyAlignment="1">
      <alignment horizontal="left" vertical="center" wrapText="1"/>
    </xf>
    <xf numFmtId="0" fontId="96" fillId="16" borderId="37" xfId="0" applyFont="1" applyFill="1" applyBorder="1" applyAlignment="1">
      <alignment horizontal="center" vertical="center" shrinkToFit="1"/>
    </xf>
    <xf numFmtId="38" fontId="96" fillId="16" borderId="37" xfId="2" applyFont="1" applyFill="1" applyBorder="1" applyAlignment="1" applyProtection="1">
      <alignment horizontal="center" vertical="center" shrinkToFit="1"/>
    </xf>
    <xf numFmtId="0" fontId="9" fillId="8" borderId="42" xfId="14" applyFont="1" applyFill="1" applyBorder="1" applyAlignment="1">
      <alignment horizontal="center" vertical="center"/>
    </xf>
    <xf numFmtId="0" fontId="39" fillId="7" borderId="37" xfId="14" applyFont="1" applyFill="1" applyBorder="1" applyAlignment="1">
      <alignment horizontal="center" vertical="center"/>
    </xf>
    <xf numFmtId="0" fontId="38" fillId="0" borderId="40" xfId="0" applyFont="1" applyBorder="1" applyAlignment="1">
      <alignment horizontal="left" vertical="top" wrapText="1"/>
    </xf>
    <xf numFmtId="0" fontId="38" fillId="0" borderId="37" xfId="0" applyFont="1" applyBorder="1" applyAlignment="1">
      <alignment horizontal="left" vertical="top" wrapText="1"/>
    </xf>
    <xf numFmtId="193" fontId="26" fillId="5" borderId="38" xfId="0" applyNumberFormat="1" applyFont="1" applyFill="1" applyBorder="1" applyAlignment="1">
      <alignment horizontal="center" vertical="center" shrinkToFit="1"/>
    </xf>
    <xf numFmtId="193" fontId="26" fillId="5" borderId="39" xfId="0" applyNumberFormat="1" applyFont="1" applyFill="1" applyBorder="1" applyAlignment="1">
      <alignment horizontal="center" vertical="center" shrinkToFit="1"/>
    </xf>
    <xf numFmtId="193" fontId="26" fillId="5" borderId="40" xfId="0" applyNumberFormat="1" applyFont="1" applyFill="1" applyBorder="1" applyAlignment="1">
      <alignment horizontal="center" vertical="center" shrinkToFit="1"/>
    </xf>
    <xf numFmtId="0" fontId="9" fillId="8" borderId="38" xfId="14" applyFont="1" applyFill="1" applyBorder="1" applyAlignment="1">
      <alignment horizontal="center" vertical="center"/>
    </xf>
    <xf numFmtId="0" fontId="9" fillId="8" borderId="39" xfId="14" applyFont="1" applyFill="1" applyBorder="1" applyAlignment="1">
      <alignment horizontal="center" vertical="center"/>
    </xf>
    <xf numFmtId="0" fontId="9" fillId="8" borderId="40" xfId="14" applyFont="1" applyFill="1" applyBorder="1" applyAlignment="1">
      <alignment horizontal="center" vertical="center"/>
    </xf>
    <xf numFmtId="0" fontId="96" fillId="7" borderId="38" xfId="0" applyFont="1" applyFill="1" applyBorder="1" applyAlignment="1">
      <alignment horizontal="left" vertical="center" wrapText="1"/>
    </xf>
    <xf numFmtId="0" fontId="96" fillId="7" borderId="39" xfId="0" applyFont="1" applyFill="1" applyBorder="1" applyAlignment="1">
      <alignment horizontal="left" vertical="center" wrapText="1"/>
    </xf>
    <xf numFmtId="0" fontId="96" fillId="7" borderId="40" xfId="0" applyFont="1" applyFill="1" applyBorder="1" applyAlignment="1">
      <alignment horizontal="left" vertical="center" wrapText="1"/>
    </xf>
    <xf numFmtId="38" fontId="97" fillId="5" borderId="37" xfId="2" applyFont="1" applyFill="1" applyBorder="1" applyAlignment="1" applyProtection="1">
      <alignment horizontal="center" vertical="center" shrinkToFit="1"/>
    </xf>
    <xf numFmtId="0" fontId="8" fillId="0" borderId="0" xfId="14" applyFont="1" applyAlignment="1">
      <alignment vertical="center"/>
    </xf>
    <xf numFmtId="0" fontId="45" fillId="7" borderId="0" xfId="14" applyFont="1" applyFill="1" applyAlignment="1">
      <alignment horizontal="center" vertical="center"/>
    </xf>
    <xf numFmtId="0" fontId="26" fillId="0" borderId="40" xfId="0" applyFont="1" applyBorder="1" applyAlignment="1">
      <alignment horizontal="left" vertical="top" wrapText="1"/>
    </xf>
    <xf numFmtId="0" fontId="26" fillId="0" borderId="37" xfId="0" applyFont="1" applyBorder="1" applyAlignment="1">
      <alignment horizontal="left" vertical="top" wrapText="1"/>
    </xf>
    <xf numFmtId="0" fontId="38" fillId="8" borderId="38" xfId="0" applyFont="1" applyFill="1" applyBorder="1" applyAlignment="1">
      <alignment horizontal="center" vertical="center" wrapText="1"/>
    </xf>
    <xf numFmtId="0" fontId="0" fillId="0" borderId="40" xfId="0" applyBorder="1" applyAlignment="1">
      <alignment horizontal="center" vertical="center"/>
    </xf>
    <xf numFmtId="0" fontId="26" fillId="8" borderId="38" xfId="0" applyFont="1" applyFill="1" applyBorder="1" applyAlignment="1">
      <alignment horizontal="center" vertical="center" wrapText="1"/>
    </xf>
    <xf numFmtId="0" fontId="57" fillId="0" borderId="40" xfId="0" applyFont="1" applyBorder="1" applyAlignment="1">
      <alignment horizontal="center" vertical="center"/>
    </xf>
    <xf numFmtId="0" fontId="26" fillId="8" borderId="40" xfId="0" applyFont="1" applyFill="1" applyBorder="1" applyAlignment="1">
      <alignment horizontal="center" vertical="center"/>
    </xf>
    <xf numFmtId="0" fontId="0" fillId="0" borderId="39" xfId="0" applyBorder="1" applyAlignment="1">
      <alignment horizontal="center" vertical="center"/>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9" fillId="8" borderId="41"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38" fontId="100" fillId="5" borderId="38" xfId="2" applyFont="1" applyFill="1" applyBorder="1" applyAlignment="1" applyProtection="1">
      <alignment horizontal="center" vertical="center" shrinkToFit="1"/>
    </xf>
    <xf numFmtId="0" fontId="19" fillId="0" borderId="40" xfId="0" applyFont="1" applyBorder="1" applyAlignment="1">
      <alignment horizontal="center" vertical="center" shrinkToFit="1"/>
    </xf>
    <xf numFmtId="38" fontId="100" fillId="5" borderId="78" xfId="2" applyFont="1" applyFill="1" applyBorder="1" applyAlignment="1" applyProtection="1">
      <alignment horizontal="center" vertical="center" shrinkToFit="1"/>
    </xf>
    <xf numFmtId="0" fontId="19" fillId="0" borderId="79" xfId="0" applyFont="1" applyBorder="1" applyAlignment="1">
      <alignment horizontal="center" vertical="center" shrinkToFit="1"/>
    </xf>
    <xf numFmtId="0" fontId="100" fillId="5" borderId="78" xfId="0" applyFont="1" applyFill="1" applyBorder="1" applyAlignment="1">
      <alignment horizontal="center" vertical="center" shrinkToFit="1"/>
    </xf>
    <xf numFmtId="38" fontId="32" fillId="5" borderId="38" xfId="2" applyFont="1" applyFill="1" applyBorder="1" applyAlignment="1" applyProtection="1">
      <alignment horizontal="center" vertical="center" shrinkToFit="1"/>
    </xf>
    <xf numFmtId="38" fontId="32" fillId="5" borderId="40" xfId="2" applyFont="1" applyFill="1" applyBorder="1" applyAlignment="1" applyProtection="1">
      <alignment horizontal="center" vertical="center" shrinkToFit="1"/>
    </xf>
    <xf numFmtId="0" fontId="44" fillId="0" borderId="0" xfId="0" applyFont="1" applyAlignment="1">
      <alignment horizontal="left" vertical="center" wrapText="1"/>
    </xf>
    <xf numFmtId="0" fontId="38" fillId="8" borderId="42" xfId="0" applyFont="1" applyFill="1" applyBorder="1" applyAlignment="1">
      <alignment horizontal="center" vertical="center"/>
    </xf>
    <xf numFmtId="3" fontId="95" fillId="5" borderId="42" xfId="0" applyNumberFormat="1" applyFont="1" applyFill="1" applyBorder="1" applyAlignment="1">
      <alignment horizontal="center" vertical="center" shrinkToFit="1"/>
    </xf>
    <xf numFmtId="3" fontId="95" fillId="5" borderId="6" xfId="0" applyNumberFormat="1" applyFont="1" applyFill="1" applyBorder="1" applyAlignment="1">
      <alignment horizontal="center" vertical="center" shrinkToFit="1"/>
    </xf>
    <xf numFmtId="3" fontId="95" fillId="5" borderId="4" xfId="0" applyNumberFormat="1" applyFont="1" applyFill="1" applyBorder="1" applyAlignment="1">
      <alignment horizontal="center" vertical="center" shrinkToFit="1"/>
    </xf>
    <xf numFmtId="3" fontId="95" fillId="5" borderId="7" xfId="0" applyNumberFormat="1" applyFont="1" applyFill="1" applyBorder="1" applyAlignment="1">
      <alignment horizontal="center" vertical="center" shrinkToFit="1"/>
    </xf>
    <xf numFmtId="3" fontId="95" fillId="5" borderId="1" xfId="0" applyNumberFormat="1" applyFont="1" applyFill="1" applyBorder="1" applyAlignment="1">
      <alignment horizontal="center" vertical="center" shrinkToFit="1"/>
    </xf>
    <xf numFmtId="3" fontId="95" fillId="5" borderId="2" xfId="0" applyNumberFormat="1" applyFont="1" applyFill="1" applyBorder="1" applyAlignment="1">
      <alignment horizontal="center" vertical="center" shrinkToFit="1"/>
    </xf>
    <xf numFmtId="0" fontId="44" fillId="0" borderId="0" xfId="0" applyFont="1" applyAlignment="1">
      <alignment horizontal="left" vertical="top" wrapText="1"/>
    </xf>
    <xf numFmtId="0" fontId="23" fillId="5" borderId="42" xfId="14" applyFont="1" applyFill="1" applyBorder="1" applyAlignment="1">
      <alignment horizontal="center" vertical="top"/>
    </xf>
    <xf numFmtId="0" fontId="62" fillId="5" borderId="42" xfId="14" applyFont="1" applyFill="1" applyBorder="1" applyAlignment="1">
      <alignment horizontal="center" vertical="top"/>
    </xf>
    <xf numFmtId="0" fontId="48" fillId="3" borderId="42" xfId="0" applyFont="1" applyFill="1" applyBorder="1" applyAlignment="1">
      <alignment horizontal="left" vertical="top"/>
    </xf>
    <xf numFmtId="0" fontId="8" fillId="5" borderId="42" xfId="14" applyFont="1" applyFill="1" applyBorder="1" applyAlignment="1">
      <alignment horizontal="center" vertical="top"/>
    </xf>
    <xf numFmtId="0" fontId="47" fillId="5" borderId="42" xfId="14" applyFont="1" applyFill="1" applyBorder="1" applyAlignment="1">
      <alignment horizontal="center" vertical="top"/>
    </xf>
    <xf numFmtId="0" fontId="23" fillId="5" borderId="1" xfId="14" applyFont="1" applyFill="1" applyBorder="1" applyAlignment="1">
      <alignment horizontal="center" vertical="center"/>
    </xf>
    <xf numFmtId="0" fontId="62" fillId="5" borderId="1" xfId="14" applyFont="1" applyFill="1" applyBorder="1" applyAlignment="1">
      <alignment horizontal="center" vertical="center"/>
    </xf>
    <xf numFmtId="0" fontId="48" fillId="3" borderId="1" xfId="0" applyFont="1" applyFill="1" applyBorder="1" applyAlignment="1">
      <alignment horizontal="left" vertical="top"/>
    </xf>
    <xf numFmtId="0" fontId="23" fillId="5" borderId="4" xfId="14" applyFont="1" applyFill="1" applyBorder="1" applyAlignment="1">
      <alignment horizontal="center" vertical="center"/>
    </xf>
    <xf numFmtId="0" fontId="62" fillId="5" borderId="4" xfId="14" applyFont="1" applyFill="1" applyBorder="1" applyAlignment="1">
      <alignment horizontal="center" vertical="center"/>
    </xf>
    <xf numFmtId="0" fontId="48" fillId="3" borderId="4" xfId="0" applyFont="1" applyFill="1" applyBorder="1" applyAlignment="1">
      <alignment horizontal="left" vertical="top"/>
    </xf>
    <xf numFmtId="0" fontId="103" fillId="16" borderId="6" xfId="0" applyFont="1" applyFill="1" applyBorder="1" applyAlignment="1">
      <alignment horizontal="left" vertical="top" wrapText="1"/>
    </xf>
    <xf numFmtId="0" fontId="103" fillId="16" borderId="3" xfId="0" applyFont="1" applyFill="1" applyBorder="1" applyAlignment="1">
      <alignment horizontal="left" vertical="top" wrapText="1"/>
    </xf>
    <xf numFmtId="0" fontId="103" fillId="16" borderId="41" xfId="0" applyFont="1" applyFill="1" applyBorder="1" applyAlignment="1">
      <alignment horizontal="left" vertical="top" wrapText="1"/>
    </xf>
    <xf numFmtId="0" fontId="19" fillId="16" borderId="7" xfId="0" applyFont="1" applyFill="1" applyBorder="1" applyAlignment="1">
      <alignment horizontal="left" vertical="top" wrapText="1"/>
    </xf>
    <xf numFmtId="0" fontId="19" fillId="16" borderId="0" xfId="0" applyFont="1" applyFill="1" applyAlignment="1">
      <alignment horizontal="left" vertical="top" wrapText="1"/>
    </xf>
    <xf numFmtId="0" fontId="19" fillId="16" borderId="5" xfId="0" applyFont="1" applyFill="1" applyBorder="1" applyAlignment="1">
      <alignment horizontal="left" vertical="top" wrapText="1"/>
    </xf>
    <xf numFmtId="0" fontId="19" fillId="16" borderId="2" xfId="0" applyFont="1" applyFill="1" applyBorder="1" applyAlignment="1">
      <alignment horizontal="left" vertical="top" wrapText="1"/>
    </xf>
    <xf numFmtId="0" fontId="19" fillId="16" borderId="8" xfId="0" applyFont="1" applyFill="1" applyBorder="1" applyAlignment="1">
      <alignment horizontal="left" vertical="top" wrapText="1"/>
    </xf>
    <xf numFmtId="0" fontId="19" fillId="16" borderId="9" xfId="0" applyFont="1" applyFill="1" applyBorder="1" applyAlignment="1">
      <alignment horizontal="left" vertical="top" wrapText="1"/>
    </xf>
    <xf numFmtId="0" fontId="96" fillId="16" borderId="7" xfId="0" applyFont="1" applyFill="1" applyBorder="1" applyAlignment="1">
      <alignment horizontal="left" vertical="top" wrapText="1"/>
    </xf>
    <xf numFmtId="0" fontId="96" fillId="16" borderId="0" xfId="0" applyFont="1" applyFill="1" applyAlignment="1">
      <alignment horizontal="left" vertical="top" wrapText="1"/>
    </xf>
    <xf numFmtId="0" fontId="96" fillId="16" borderId="5" xfId="0" applyFont="1" applyFill="1" applyBorder="1" applyAlignment="1">
      <alignment horizontal="left" vertical="top" wrapText="1"/>
    </xf>
    <xf numFmtId="0" fontId="96" fillId="16" borderId="2" xfId="0" applyFont="1" applyFill="1" applyBorder="1" applyAlignment="1">
      <alignment horizontal="left" vertical="top" wrapText="1"/>
    </xf>
    <xf numFmtId="0" fontId="96" fillId="16" borderId="8" xfId="0" applyFont="1" applyFill="1" applyBorder="1" applyAlignment="1">
      <alignment horizontal="left" vertical="top" wrapText="1"/>
    </xf>
    <xf numFmtId="0" fontId="96" fillId="16" borderId="9" xfId="0" applyFont="1" applyFill="1" applyBorder="1" applyAlignment="1">
      <alignment horizontal="left" vertical="top" wrapText="1"/>
    </xf>
    <xf numFmtId="0" fontId="48" fillId="3" borderId="2" xfId="0" applyFont="1" applyFill="1" applyBorder="1" applyAlignment="1">
      <alignment horizontal="center" vertical="top" wrapText="1"/>
    </xf>
    <xf numFmtId="0" fontId="0" fillId="3" borderId="8" xfId="0" applyFill="1" applyBorder="1" applyAlignment="1">
      <alignment horizontal="center" vertical="top"/>
    </xf>
    <xf numFmtId="0" fontId="0" fillId="3" borderId="9" xfId="0" applyFill="1" applyBorder="1" applyAlignment="1">
      <alignment horizontal="center" vertical="top"/>
    </xf>
    <xf numFmtId="0" fontId="9" fillId="8" borderId="37" xfId="14" applyFont="1" applyFill="1" applyBorder="1" applyAlignment="1">
      <alignment horizontal="center" vertical="center" wrapText="1"/>
    </xf>
    <xf numFmtId="0" fontId="9" fillId="8" borderId="37" xfId="14" applyFont="1" applyFill="1" applyBorder="1" applyAlignment="1">
      <alignment horizontal="center" vertical="center"/>
    </xf>
    <xf numFmtId="0" fontId="38" fillId="8" borderId="42" xfId="0" applyFont="1" applyFill="1" applyBorder="1" applyAlignment="1">
      <alignment horizontal="center" vertical="top"/>
    </xf>
    <xf numFmtId="192" fontId="37" fillId="7" borderId="2" xfId="2" applyNumberFormat="1" applyFont="1" applyFill="1" applyBorder="1" applyAlignment="1" applyProtection="1">
      <alignment horizontal="right" vertical="center" wrapText="1"/>
    </xf>
    <xf numFmtId="192" fontId="39" fillId="0" borderId="8" xfId="2" applyNumberFormat="1" applyFont="1" applyBorder="1" applyAlignment="1" applyProtection="1">
      <alignment horizontal="right" vertical="center" wrapText="1"/>
    </xf>
    <xf numFmtId="192" fontId="39" fillId="0" borderId="9" xfId="2" applyNumberFormat="1" applyFont="1" applyBorder="1" applyAlignment="1" applyProtection="1">
      <alignment horizontal="right" vertical="center" wrapText="1"/>
    </xf>
    <xf numFmtId="0" fontId="38" fillId="3" borderId="6" xfId="0" applyFont="1" applyFill="1" applyBorder="1" applyAlignment="1">
      <alignment horizontal="right" vertical="center" wrapText="1"/>
    </xf>
    <xf numFmtId="0" fontId="0" fillId="3" borderId="3" xfId="0" applyFill="1" applyBorder="1" applyAlignment="1">
      <alignment horizontal="right" vertical="center" wrapText="1"/>
    </xf>
    <xf numFmtId="191" fontId="0" fillId="5" borderId="3" xfId="1" applyNumberFormat="1" applyFont="1" applyFill="1" applyBorder="1" applyAlignment="1" applyProtection="1">
      <alignment horizontal="center" vertical="center" wrapText="1"/>
    </xf>
    <xf numFmtId="191" fontId="0" fillId="0" borderId="3" xfId="1" applyNumberFormat="1" applyFont="1" applyBorder="1" applyAlignment="1" applyProtection="1">
      <alignment horizontal="center" vertical="center" wrapText="1"/>
    </xf>
    <xf numFmtId="0" fontId="23" fillId="5" borderId="42" xfId="14" applyFont="1" applyFill="1" applyBorder="1" applyAlignment="1">
      <alignment horizontal="center" vertical="center"/>
    </xf>
    <xf numFmtId="0" fontId="62" fillId="5" borderId="42" xfId="14" applyFont="1" applyFill="1" applyBorder="1" applyAlignment="1">
      <alignment horizontal="center" vertical="center"/>
    </xf>
    <xf numFmtId="0" fontId="48" fillId="3" borderId="42" xfId="0" applyFont="1" applyFill="1" applyBorder="1" applyAlignment="1">
      <alignment horizontal="left" vertical="top" wrapText="1"/>
    </xf>
    <xf numFmtId="0" fontId="104" fillId="16" borderId="3" xfId="0" applyFont="1" applyFill="1" applyBorder="1" applyAlignment="1">
      <alignment horizontal="left" vertical="top" wrapText="1"/>
    </xf>
    <xf numFmtId="0" fontId="104" fillId="16" borderId="41" xfId="0" applyFont="1" applyFill="1" applyBorder="1" applyAlignment="1">
      <alignment horizontal="left" vertical="top" wrapText="1"/>
    </xf>
    <xf numFmtId="0" fontId="48" fillId="3" borderId="7" xfId="0" applyFont="1" applyFill="1" applyBorder="1" applyAlignment="1">
      <alignment horizontal="center" vertical="top" wrapText="1"/>
    </xf>
    <xf numFmtId="0" fontId="0" fillId="0" borderId="0" xfId="0" applyAlignment="1">
      <alignment horizontal="center" vertical="top"/>
    </xf>
    <xf numFmtId="0" fontId="0" fillId="0" borderId="5" xfId="0" applyBorder="1" applyAlignment="1">
      <alignment horizontal="center" vertical="top"/>
    </xf>
    <xf numFmtId="0" fontId="103" fillId="16" borderId="38" xfId="0" applyFont="1" applyFill="1" applyBorder="1" applyAlignment="1">
      <alignment horizontal="left" vertical="top" wrapText="1"/>
    </xf>
    <xf numFmtId="0" fontId="103" fillId="16" borderId="39" xfId="0" applyFont="1" applyFill="1" applyBorder="1" applyAlignment="1">
      <alignment horizontal="left" vertical="top" wrapText="1"/>
    </xf>
    <xf numFmtId="0" fontId="103" fillId="16" borderId="40" xfId="0" applyFont="1" applyFill="1" applyBorder="1" applyAlignment="1">
      <alignment horizontal="left" vertical="top" wrapText="1"/>
    </xf>
    <xf numFmtId="0" fontId="0" fillId="0" borderId="8" xfId="0" applyBorder="1" applyAlignment="1">
      <alignment horizontal="center" vertical="top"/>
    </xf>
    <xf numFmtId="0" fontId="0" fillId="0" borderId="9" xfId="0" applyBorder="1" applyAlignment="1">
      <alignment horizontal="center" vertical="top"/>
    </xf>
    <xf numFmtId="0" fontId="38" fillId="8" borderId="37" xfId="0" applyFont="1" applyFill="1" applyBorder="1" applyAlignment="1">
      <alignment horizontal="left" vertical="center"/>
    </xf>
    <xf numFmtId="0" fontId="38" fillId="8" borderId="38" xfId="0" applyFont="1" applyFill="1" applyBorder="1" applyAlignment="1">
      <alignment horizontal="left" vertical="center"/>
    </xf>
    <xf numFmtId="192" fontId="96" fillId="16" borderId="37" xfId="0" applyNumberFormat="1" applyFont="1" applyFill="1" applyBorder="1" applyAlignment="1">
      <alignment horizontal="center" vertical="center" wrapText="1"/>
    </xf>
    <xf numFmtId="192" fontId="100" fillId="16" borderId="40" xfId="0" applyNumberFormat="1" applyFont="1" applyFill="1" applyBorder="1" applyAlignment="1">
      <alignment horizontal="center" vertical="center" wrapText="1"/>
    </xf>
    <xf numFmtId="192" fontId="100" fillId="16" borderId="37" xfId="0" applyNumberFormat="1" applyFont="1" applyFill="1" applyBorder="1" applyAlignment="1">
      <alignment horizontal="center" vertical="center" wrapText="1"/>
    </xf>
    <xf numFmtId="0" fontId="19" fillId="16" borderId="3" xfId="0" applyFont="1" applyFill="1" applyBorder="1" applyAlignment="1">
      <alignment horizontal="left" vertical="top" wrapText="1"/>
    </xf>
    <xf numFmtId="0" fontId="19" fillId="16" borderId="41" xfId="0" applyFont="1" applyFill="1" applyBorder="1" applyAlignment="1">
      <alignment horizontal="left" vertical="top" wrapText="1"/>
    </xf>
    <xf numFmtId="0" fontId="24" fillId="0" borderId="0" xfId="0" applyFont="1" applyAlignment="1">
      <alignment horizontal="left" vertical="center" wrapText="1"/>
    </xf>
    <xf numFmtId="0" fontId="47" fillId="8" borderId="37" xfId="14" applyFont="1" applyFill="1" applyBorder="1" applyAlignment="1">
      <alignment horizontal="center" vertical="center"/>
    </xf>
    <xf numFmtId="0" fontId="48" fillId="8" borderId="37" xfId="0" applyFont="1" applyFill="1" applyBorder="1" applyAlignment="1">
      <alignment horizontal="center" vertical="center"/>
    </xf>
    <xf numFmtId="180" fontId="9" fillId="5" borderId="37" xfId="14" applyNumberFormat="1" applyFont="1" applyFill="1" applyBorder="1" applyAlignment="1">
      <alignment horizontal="center" vertical="center"/>
    </xf>
    <xf numFmtId="0" fontId="38" fillId="0" borderId="37" xfId="0" applyFont="1" applyBorder="1" applyAlignment="1">
      <alignment horizontal="left" vertical="center"/>
    </xf>
    <xf numFmtId="0" fontId="102" fillId="7" borderId="0" xfId="0" applyFont="1" applyFill="1" applyAlignment="1">
      <alignment horizontal="center" vertical="center"/>
    </xf>
    <xf numFmtId="0" fontId="38" fillId="0" borderId="38" xfId="0" applyFont="1" applyBorder="1" applyAlignment="1">
      <alignment horizontal="left" vertical="top" wrapText="1"/>
    </xf>
    <xf numFmtId="0" fontId="96" fillId="16" borderId="37" xfId="0" applyFont="1" applyFill="1" applyBorder="1" applyAlignment="1">
      <alignment horizontal="center" vertical="center"/>
    </xf>
    <xf numFmtId="0" fontId="23" fillId="0" borderId="3" xfId="14" applyFont="1" applyBorder="1" applyAlignment="1">
      <alignment horizontal="left" vertical="top" wrapText="1"/>
    </xf>
    <xf numFmtId="0" fontId="57" fillId="0" borderId="3" xfId="0" applyFont="1" applyBorder="1" applyAlignment="1">
      <alignment horizontal="left" vertical="top"/>
    </xf>
    <xf numFmtId="0" fontId="9" fillId="8" borderId="37" xfId="14" applyFont="1" applyFill="1" applyBorder="1" applyAlignment="1">
      <alignment horizontal="center" vertical="center" textRotation="255"/>
    </xf>
    <xf numFmtId="0" fontId="38" fillId="8" borderId="37" xfId="0" applyFont="1" applyFill="1" applyBorder="1" applyAlignment="1">
      <alignment horizontal="center" vertical="center"/>
    </xf>
    <xf numFmtId="0" fontId="38" fillId="8" borderId="38" xfId="0" applyFont="1" applyFill="1" applyBorder="1" applyAlignment="1">
      <alignment horizontal="center" vertical="center"/>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38" fillId="0" borderId="6" xfId="0" applyFont="1" applyBorder="1" applyAlignment="1">
      <alignment horizontal="left" vertical="center" wrapText="1"/>
    </xf>
    <xf numFmtId="0" fontId="19" fillId="0" borderId="42" xfId="0" applyFont="1" applyBorder="1" applyAlignment="1">
      <alignment horizontal="left" vertical="center" wrapText="1"/>
    </xf>
    <xf numFmtId="0" fontId="96" fillId="0" borderId="42" xfId="0" applyFont="1" applyBorder="1" applyAlignment="1">
      <alignment horizontal="left" vertical="center" wrapText="1"/>
    </xf>
    <xf numFmtId="0" fontId="24" fillId="0" borderId="8" xfId="0" applyFont="1" applyBorder="1" applyAlignment="1">
      <alignment horizontal="left" vertical="center" wrapText="1"/>
    </xf>
    <xf numFmtId="0" fontId="9" fillId="8" borderId="4" xfId="14" applyFont="1" applyFill="1" applyBorder="1" applyAlignment="1">
      <alignment horizontal="center" vertical="center"/>
    </xf>
    <xf numFmtId="0" fontId="45" fillId="7" borderId="71" xfId="14" applyFont="1" applyFill="1" applyBorder="1" applyAlignment="1">
      <alignment horizontal="center" vertical="center" wrapText="1"/>
    </xf>
    <xf numFmtId="0" fontId="39" fillId="7" borderId="72" xfId="0" applyFont="1" applyFill="1" applyBorder="1" applyAlignment="1">
      <alignment horizontal="center" vertical="center" wrapText="1"/>
    </xf>
    <xf numFmtId="0" fontId="39" fillId="7" borderId="6" xfId="14" applyFont="1" applyFill="1" applyBorder="1" applyAlignment="1">
      <alignment horizontal="center" vertical="center"/>
    </xf>
    <xf numFmtId="0" fontId="39" fillId="7" borderId="41" xfId="14" applyFont="1" applyFill="1" applyBorder="1" applyAlignment="1">
      <alignment horizontal="center" vertical="center"/>
    </xf>
    <xf numFmtId="0" fontId="39" fillId="7" borderId="2" xfId="14" applyFont="1" applyFill="1" applyBorder="1" applyAlignment="1">
      <alignment horizontal="center" vertical="center"/>
    </xf>
    <xf numFmtId="0" fontId="39" fillId="7" borderId="9" xfId="14" applyFont="1" applyFill="1" applyBorder="1" applyAlignment="1">
      <alignment horizontal="center" vertical="center"/>
    </xf>
    <xf numFmtId="0" fontId="96" fillId="16" borderId="1" xfId="0" applyFont="1" applyFill="1" applyBorder="1" applyAlignment="1">
      <alignment horizontal="left" vertical="top" wrapText="1"/>
    </xf>
    <xf numFmtId="0" fontId="38" fillId="16" borderId="1" xfId="0" applyFont="1" applyFill="1" applyBorder="1" applyAlignment="1">
      <alignment horizontal="left" vertical="top" wrapText="1"/>
    </xf>
    <xf numFmtId="0" fontId="38" fillId="16" borderId="2" xfId="0" applyFont="1" applyFill="1" applyBorder="1" applyAlignment="1">
      <alignment horizontal="left" vertical="top" wrapText="1"/>
    </xf>
    <xf numFmtId="0" fontId="96" fillId="16" borderId="1" xfId="0" applyFont="1" applyFill="1" applyBorder="1" applyAlignment="1">
      <alignment horizontal="left" vertical="center" wrapText="1"/>
    </xf>
    <xf numFmtId="0" fontId="38" fillId="0" borderId="40"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96" fillId="16" borderId="37" xfId="0" applyFont="1" applyFill="1" applyBorder="1" applyAlignment="1">
      <alignment horizontal="left" vertical="center" wrapText="1"/>
    </xf>
    <xf numFmtId="0" fontId="100" fillId="16" borderId="37" xfId="0" applyFont="1" applyFill="1" applyBorder="1" applyAlignment="1">
      <alignment horizontal="left" vertical="center" wrapText="1"/>
    </xf>
    <xf numFmtId="0" fontId="38" fillId="0" borderId="3" xfId="0" applyFont="1" applyBorder="1" applyAlignment="1">
      <alignment horizontal="left" vertical="center"/>
    </xf>
    <xf numFmtId="0" fontId="38" fillId="0" borderId="41" xfId="0" applyFont="1" applyBorder="1" applyAlignment="1">
      <alignment horizontal="left" vertical="center"/>
    </xf>
    <xf numFmtId="0" fontId="38" fillId="0" borderId="39" xfId="0" applyFont="1" applyBorder="1" applyAlignment="1">
      <alignment horizontal="left" vertical="center"/>
    </xf>
    <xf numFmtId="0" fontId="38" fillId="0" borderId="40" xfId="0" applyFont="1" applyBorder="1" applyAlignment="1">
      <alignment horizontal="left" vertical="center"/>
    </xf>
    <xf numFmtId="0" fontId="38" fillId="0" borderId="39" xfId="0" applyFont="1" applyBorder="1" applyAlignment="1">
      <alignment horizontal="left" vertical="center" wrapText="1"/>
    </xf>
    <xf numFmtId="0" fontId="128" fillId="16" borderId="8" xfId="0" applyFont="1" applyFill="1" applyBorder="1" applyAlignment="1">
      <alignment horizontal="left" vertical="center" wrapText="1"/>
    </xf>
    <xf numFmtId="0" fontId="38" fillId="16" borderId="8" xfId="0" applyFont="1" applyFill="1" applyBorder="1" applyAlignment="1">
      <alignment horizontal="left" vertical="center"/>
    </xf>
    <xf numFmtId="0" fontId="38" fillId="16" borderId="9" xfId="0" applyFont="1" applyFill="1" applyBorder="1" applyAlignment="1">
      <alignment horizontal="left" vertical="center"/>
    </xf>
    <xf numFmtId="0" fontId="38" fillId="8" borderId="39" xfId="0" applyFont="1" applyFill="1" applyBorder="1" applyAlignment="1">
      <alignment horizontal="center" vertical="center"/>
    </xf>
    <xf numFmtId="0" fontId="38" fillId="8" borderId="40" xfId="0" applyFont="1" applyFill="1" applyBorder="1" applyAlignment="1">
      <alignment horizontal="center" vertical="center"/>
    </xf>
    <xf numFmtId="3" fontId="95" fillId="0" borderId="38" xfId="0" applyNumberFormat="1" applyFont="1" applyBorder="1" applyAlignment="1">
      <alignment horizontal="center" vertical="center" shrinkToFit="1"/>
    </xf>
    <xf numFmtId="3" fontId="95" fillId="0" borderId="39" xfId="0" applyNumberFormat="1" applyFont="1" applyBorder="1" applyAlignment="1">
      <alignment horizontal="center" vertical="center" shrinkToFit="1"/>
    </xf>
    <xf numFmtId="0" fontId="95" fillId="0" borderId="40" xfId="0" applyFont="1" applyBorder="1" applyAlignment="1">
      <alignment horizontal="center" vertical="center" shrinkToFit="1"/>
    </xf>
    <xf numFmtId="38" fontId="32" fillId="5" borderId="38" xfId="0" applyNumberFormat="1" applyFont="1" applyFill="1" applyBorder="1" applyAlignment="1">
      <alignment horizontal="center" vertical="center" shrinkToFit="1"/>
    </xf>
    <xf numFmtId="0" fontId="32" fillId="5" borderId="39" xfId="0" applyFont="1" applyFill="1" applyBorder="1" applyAlignment="1">
      <alignment horizontal="center" vertical="center" shrinkToFit="1"/>
    </xf>
    <xf numFmtId="0" fontId="32" fillId="5" borderId="40" xfId="0" applyFont="1" applyFill="1" applyBorder="1" applyAlignment="1">
      <alignment horizontal="center" vertical="center" shrinkToFit="1"/>
    </xf>
    <xf numFmtId="0" fontId="9" fillId="8" borderId="6" xfId="14" applyFont="1" applyFill="1" applyBorder="1" applyAlignment="1">
      <alignment horizontal="center" vertical="center" wrapText="1"/>
    </xf>
    <xf numFmtId="0" fontId="9" fillId="8" borderId="41" xfId="14"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8" borderId="41" xfId="0" applyFont="1" applyFill="1" applyBorder="1" applyAlignment="1">
      <alignment horizontal="center" vertical="center" wrapText="1"/>
    </xf>
    <xf numFmtId="0" fontId="38" fillId="8" borderId="6" xfId="0" applyFont="1" applyFill="1" applyBorder="1" applyAlignment="1">
      <alignment horizontal="center" vertical="center"/>
    </xf>
    <xf numFmtId="0" fontId="38" fillId="8" borderId="3" xfId="0" applyFont="1" applyFill="1" applyBorder="1" applyAlignment="1">
      <alignment horizontal="center" vertical="center"/>
    </xf>
    <xf numFmtId="0" fontId="38" fillId="8" borderId="41" xfId="0" applyFont="1" applyFill="1" applyBorder="1" applyAlignment="1">
      <alignment horizontal="center" vertical="center"/>
    </xf>
    <xf numFmtId="38" fontId="32" fillId="5" borderId="39" xfId="2" applyFont="1" applyFill="1" applyBorder="1" applyAlignment="1" applyProtection="1">
      <alignment horizontal="center" vertical="center" shrinkToFit="1"/>
    </xf>
    <xf numFmtId="0" fontId="9" fillId="8" borderId="6" xfId="14" applyFont="1" applyFill="1" applyBorder="1" applyAlignment="1">
      <alignment horizontal="center" vertical="center"/>
    </xf>
    <xf numFmtId="0" fontId="9" fillId="8" borderId="3" xfId="14" applyFont="1" applyFill="1" applyBorder="1" applyAlignment="1">
      <alignment horizontal="center" vertical="center"/>
    </xf>
    <xf numFmtId="0" fontId="9" fillId="8" borderId="41" xfId="14" applyFont="1" applyFill="1" applyBorder="1" applyAlignment="1">
      <alignment horizontal="center" vertical="center"/>
    </xf>
    <xf numFmtId="0" fontId="38" fillId="8" borderId="3" xfId="0" applyFont="1" applyFill="1" applyBorder="1" applyAlignment="1">
      <alignment horizontal="center" vertical="center" wrapText="1"/>
    </xf>
    <xf numFmtId="0" fontId="38" fillId="8" borderId="7" xfId="0" applyFont="1" applyFill="1" applyBorder="1" applyAlignment="1">
      <alignment horizontal="center" vertical="center"/>
    </xf>
    <xf numFmtId="0" fontId="38" fillId="8" borderId="0" xfId="0" applyFont="1" applyFill="1" applyAlignment="1">
      <alignment horizontal="center" vertical="center"/>
    </xf>
    <xf numFmtId="0" fontId="38" fillId="8" borderId="5" xfId="0" applyFont="1" applyFill="1" applyBorder="1" applyAlignment="1">
      <alignment horizontal="center" vertical="center"/>
    </xf>
    <xf numFmtId="0" fontId="38" fillId="8" borderId="7" xfId="0" applyFont="1" applyFill="1" applyBorder="1" applyAlignment="1">
      <alignment horizontal="center" vertical="center" wrapText="1"/>
    </xf>
    <xf numFmtId="0" fontId="38" fillId="8" borderId="5" xfId="0" applyFont="1" applyFill="1" applyBorder="1" applyAlignment="1">
      <alignment horizontal="center" vertical="center" wrapText="1"/>
    </xf>
    <xf numFmtId="38" fontId="32" fillId="0" borderId="38" xfId="2" applyFont="1" applyFill="1" applyBorder="1" applyAlignment="1" applyProtection="1">
      <alignment horizontal="center" vertical="center" shrinkToFit="1"/>
    </xf>
    <xf numFmtId="38" fontId="32" fillId="0" borderId="39" xfId="2" applyFont="1" applyFill="1" applyBorder="1" applyAlignment="1" applyProtection="1">
      <alignment horizontal="center" vertical="center" shrinkToFit="1"/>
    </xf>
    <xf numFmtId="38" fontId="32" fillId="0" borderId="40" xfId="2" applyFont="1" applyFill="1" applyBorder="1" applyAlignment="1" applyProtection="1">
      <alignment horizontal="center" vertical="center" shrinkToFit="1"/>
    </xf>
    <xf numFmtId="38" fontId="32" fillId="16" borderId="38" xfId="2" applyFont="1" applyFill="1" applyBorder="1" applyAlignment="1" applyProtection="1">
      <alignment horizontal="center" vertical="center" shrinkToFit="1"/>
    </xf>
    <xf numFmtId="38" fontId="32" fillId="16" borderId="40" xfId="2" applyFont="1" applyFill="1" applyBorder="1" applyAlignment="1" applyProtection="1">
      <alignment horizontal="center" vertical="center" shrinkToFit="1"/>
    </xf>
    <xf numFmtId="38" fontId="32" fillId="16" borderId="39" xfId="2" applyFont="1" applyFill="1" applyBorder="1" applyAlignment="1" applyProtection="1">
      <alignment horizontal="center" vertical="center" shrinkToFit="1"/>
    </xf>
    <xf numFmtId="38" fontId="32" fillId="16" borderId="2" xfId="2" applyFont="1" applyFill="1" applyBorder="1" applyAlignment="1" applyProtection="1">
      <alignment horizontal="center" vertical="center" shrinkToFit="1"/>
    </xf>
    <xf numFmtId="38" fontId="32" fillId="16" borderId="9" xfId="2" applyFont="1" applyFill="1" applyBorder="1" applyAlignment="1" applyProtection="1">
      <alignment horizontal="center" vertical="center" shrinkToFit="1"/>
    </xf>
    <xf numFmtId="3" fontId="95" fillId="0" borderId="2" xfId="0" applyNumberFormat="1" applyFont="1" applyBorder="1" applyAlignment="1">
      <alignment horizontal="center" vertical="center" shrinkToFit="1"/>
    </xf>
    <xf numFmtId="3" fontId="95" fillId="0" borderId="8" xfId="0" applyNumberFormat="1" applyFont="1" applyBorder="1" applyAlignment="1">
      <alignment horizontal="center" vertical="center" shrinkToFit="1"/>
    </xf>
    <xf numFmtId="0" fontId="95" fillId="0" borderId="9" xfId="0" applyFont="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3" xfId="0" applyNumberFormat="1" applyFont="1" applyFill="1" applyBorder="1" applyAlignment="1">
      <alignment horizontal="center" vertical="center" shrinkToFit="1"/>
    </xf>
    <xf numFmtId="38" fontId="32" fillId="5" borderId="41" xfId="0" applyNumberFormat="1" applyFont="1" applyFill="1" applyBorder="1" applyAlignment="1">
      <alignment horizontal="center" vertical="center" shrinkToFit="1"/>
    </xf>
    <xf numFmtId="38" fontId="32" fillId="5" borderId="7"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2" xfId="0" applyNumberFormat="1" applyFont="1" applyFill="1" applyBorder="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9" xfId="0" applyNumberFormat="1" applyFont="1" applyFill="1" applyBorder="1" applyAlignment="1">
      <alignment horizontal="center" vertical="center" shrinkToFit="1"/>
    </xf>
    <xf numFmtId="3" fontId="100" fillId="0" borderId="37" xfId="0" applyNumberFormat="1" applyFont="1" applyBorder="1" applyAlignment="1">
      <alignment horizontal="center" vertical="center" shrinkToFit="1"/>
    </xf>
    <xf numFmtId="0" fontId="100" fillId="0" borderId="37" xfId="0" applyFont="1" applyBorder="1" applyAlignment="1">
      <alignment horizontal="center" vertical="center" shrinkToFit="1"/>
    </xf>
    <xf numFmtId="38" fontId="100" fillId="5" borderId="37" xfId="2" applyFont="1" applyFill="1" applyBorder="1" applyAlignment="1" applyProtection="1">
      <alignment horizontal="center" vertical="center" shrinkToFit="1"/>
    </xf>
    <xf numFmtId="38" fontId="97" fillId="5" borderId="38" xfId="0" applyNumberFormat="1" applyFont="1" applyFill="1" applyBorder="1" applyAlignment="1">
      <alignment horizontal="center" vertical="center" shrinkToFit="1"/>
    </xf>
    <xf numFmtId="0" fontId="97" fillId="5" borderId="39" xfId="0" applyFont="1" applyFill="1" applyBorder="1" applyAlignment="1">
      <alignment horizontal="center" vertical="center" shrinkToFit="1"/>
    </xf>
    <xf numFmtId="0" fontId="97" fillId="5" borderId="40" xfId="0" applyFont="1" applyFill="1" applyBorder="1" applyAlignment="1">
      <alignment horizontal="center" vertical="center" shrinkToFit="1"/>
    </xf>
    <xf numFmtId="0" fontId="38" fillId="8" borderId="42" xfId="0" applyFont="1" applyFill="1" applyBorder="1" applyAlignment="1">
      <alignment horizontal="center" vertical="center" wrapText="1"/>
    </xf>
    <xf numFmtId="0" fontId="38" fillId="8" borderId="4" xfId="0" applyFont="1" applyFill="1" applyBorder="1" applyAlignment="1">
      <alignment horizontal="center" vertical="center" wrapText="1"/>
    </xf>
    <xf numFmtId="38" fontId="19" fillId="5" borderId="77" xfId="2" applyFont="1" applyFill="1" applyBorder="1" applyAlignment="1" applyProtection="1">
      <alignment horizontal="center" vertical="center" shrinkToFit="1"/>
    </xf>
    <xf numFmtId="38" fontId="97" fillId="5" borderId="38" xfId="2" applyFont="1" applyFill="1" applyBorder="1" applyAlignment="1" applyProtection="1">
      <alignment horizontal="center" vertical="center" shrinkToFit="1"/>
    </xf>
    <xf numFmtId="0" fontId="97" fillId="0" borderId="40" xfId="0" applyFont="1" applyBorder="1" applyAlignment="1">
      <alignment horizontal="center" vertical="center" shrinkToFit="1"/>
    </xf>
    <xf numFmtId="38" fontId="97" fillId="0" borderId="38" xfId="2" applyFont="1" applyFill="1" applyBorder="1" applyAlignment="1" applyProtection="1">
      <alignment horizontal="center" vertical="center" shrinkToFit="1"/>
    </xf>
    <xf numFmtId="38" fontId="97" fillId="0" borderId="39" xfId="2" applyFont="1" applyFill="1" applyBorder="1" applyAlignment="1" applyProtection="1">
      <alignment horizontal="center" vertical="center" shrinkToFit="1"/>
    </xf>
    <xf numFmtId="38" fontId="97" fillId="0" borderId="40" xfId="2" applyFont="1" applyFill="1" applyBorder="1" applyAlignment="1" applyProtection="1">
      <alignment horizontal="center" vertical="center" shrinkToFit="1"/>
    </xf>
    <xf numFmtId="0" fontId="97" fillId="0" borderId="39" xfId="0" applyFont="1" applyBorder="1" applyAlignment="1">
      <alignment horizontal="center" vertical="center" shrinkToFit="1"/>
    </xf>
    <xf numFmtId="0" fontId="19" fillId="0" borderId="39" xfId="0" applyFont="1" applyBorder="1" applyAlignment="1">
      <alignment horizontal="center" vertical="center" shrinkToFit="1"/>
    </xf>
    <xf numFmtId="38" fontId="100" fillId="5" borderId="6" xfId="0" applyNumberFormat="1" applyFont="1" applyFill="1" applyBorder="1" applyAlignment="1">
      <alignment horizontal="center" vertical="center" shrinkToFit="1"/>
    </xf>
    <xf numFmtId="38" fontId="100" fillId="5" borderId="3" xfId="0" applyNumberFormat="1" applyFont="1" applyFill="1" applyBorder="1" applyAlignment="1">
      <alignment horizontal="center" vertical="center" shrinkToFit="1"/>
    </xf>
    <xf numFmtId="38" fontId="100" fillId="5" borderId="41" xfId="0" applyNumberFormat="1" applyFont="1" applyFill="1" applyBorder="1" applyAlignment="1">
      <alignment horizontal="center" vertical="center" shrinkToFit="1"/>
    </xf>
    <xf numFmtId="38" fontId="100" fillId="5" borderId="2" xfId="0" applyNumberFormat="1" applyFont="1" applyFill="1" applyBorder="1" applyAlignment="1">
      <alignment horizontal="center" vertical="center" shrinkToFit="1"/>
    </xf>
    <xf numFmtId="38" fontId="100" fillId="5" borderId="8" xfId="0" applyNumberFormat="1" applyFont="1" applyFill="1" applyBorder="1" applyAlignment="1">
      <alignment horizontal="center" vertical="center" shrinkToFit="1"/>
    </xf>
    <xf numFmtId="38" fontId="100" fillId="5" borderId="9" xfId="0" applyNumberFormat="1" applyFont="1" applyFill="1" applyBorder="1" applyAlignment="1">
      <alignment horizontal="center" vertical="center" shrinkToFit="1"/>
    </xf>
    <xf numFmtId="0" fontId="44" fillId="0" borderId="37" xfId="0" applyFont="1" applyBorder="1" applyAlignment="1">
      <alignment horizontal="left" vertical="center"/>
    </xf>
    <xf numFmtId="38" fontId="100" fillId="0" borderId="38" xfId="2" applyFont="1" applyFill="1" applyBorder="1" applyAlignment="1" applyProtection="1">
      <alignment horizontal="center" vertical="center" shrinkToFit="1"/>
    </xf>
    <xf numFmtId="38" fontId="19" fillId="0" borderId="39" xfId="2" applyFont="1" applyFill="1" applyBorder="1" applyAlignment="1" applyProtection="1">
      <alignment horizontal="center" vertical="center" shrinkToFit="1"/>
    </xf>
    <xf numFmtId="38" fontId="19" fillId="0" borderId="40" xfId="2" applyFont="1" applyFill="1" applyBorder="1" applyAlignment="1" applyProtection="1">
      <alignment horizontal="center" vertical="center" shrinkToFit="1"/>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8" fillId="8" borderId="2" xfId="0" applyFont="1" applyFill="1" applyBorder="1" applyAlignment="1">
      <alignment horizontal="center" vertical="center"/>
    </xf>
    <xf numFmtId="0" fontId="38" fillId="8" borderId="8" xfId="0" applyFont="1" applyFill="1" applyBorder="1" applyAlignment="1">
      <alignment horizontal="center" vertical="center"/>
    </xf>
    <xf numFmtId="0" fontId="38" fillId="8" borderId="9" xfId="0" applyFont="1" applyFill="1" applyBorder="1" applyAlignment="1">
      <alignment horizontal="center" vertical="center"/>
    </xf>
    <xf numFmtId="0" fontId="38" fillId="8" borderId="37" xfId="0" applyFont="1" applyFill="1" applyBorder="1" applyAlignment="1">
      <alignment horizontal="center" vertical="center" wrapText="1"/>
    </xf>
    <xf numFmtId="0" fontId="9" fillId="8" borderId="38" xfId="14" applyFont="1" applyFill="1" applyBorder="1" applyAlignment="1">
      <alignment horizontal="center" vertical="center" wrapText="1"/>
    </xf>
    <xf numFmtId="0" fontId="90" fillId="7" borderId="37" xfId="0" applyFont="1" applyFill="1" applyBorder="1" applyAlignment="1">
      <alignment horizontal="left" vertical="center" wrapText="1"/>
    </xf>
    <xf numFmtId="0" fontId="95" fillId="7" borderId="37" xfId="0" applyFont="1" applyFill="1" applyBorder="1" applyAlignment="1">
      <alignment horizontal="left" vertical="center" wrapText="1"/>
    </xf>
    <xf numFmtId="0" fontId="90" fillId="16" borderId="37" xfId="14" applyFont="1" applyFill="1" applyBorder="1" applyAlignment="1">
      <alignment horizontal="center" vertical="center" wrapText="1"/>
    </xf>
    <xf numFmtId="0" fontId="90" fillId="16" borderId="37" xfId="0" applyFont="1" applyFill="1" applyBorder="1" applyAlignment="1">
      <alignment horizontal="center" vertical="center" wrapText="1"/>
    </xf>
    <xf numFmtId="0" fontId="40" fillId="8" borderId="37" xfId="14" applyFont="1" applyFill="1" applyBorder="1" applyAlignment="1">
      <alignment horizontal="center" vertical="center"/>
    </xf>
    <xf numFmtId="0" fontId="40" fillId="8" borderId="21" xfId="14" applyFont="1" applyFill="1" applyBorder="1" applyAlignment="1">
      <alignment horizontal="center" vertical="center"/>
    </xf>
    <xf numFmtId="0" fontId="41" fillId="8" borderId="37" xfId="0" applyFont="1" applyFill="1" applyBorder="1" applyAlignment="1">
      <alignment horizontal="center" vertical="center" wrapText="1"/>
    </xf>
    <xf numFmtId="0" fontId="41" fillId="8" borderId="58" xfId="0" applyFont="1" applyFill="1" applyBorder="1" applyAlignment="1">
      <alignment horizontal="center" vertical="center" wrapText="1"/>
    </xf>
    <xf numFmtId="0" fontId="41" fillId="8" borderId="21" xfId="0" applyFont="1" applyFill="1" applyBorder="1" applyAlignment="1">
      <alignment horizontal="center" vertical="center" wrapText="1"/>
    </xf>
    <xf numFmtId="0" fontId="41" fillId="8" borderId="22" xfId="0" applyFont="1" applyFill="1" applyBorder="1" applyAlignment="1">
      <alignment horizontal="center" vertical="center" wrapText="1"/>
    </xf>
    <xf numFmtId="38" fontId="19" fillId="5" borderId="37" xfId="2" applyFont="1" applyFill="1" applyBorder="1" applyAlignment="1" applyProtection="1">
      <alignment horizontal="center" vertical="center" shrinkToFit="1"/>
    </xf>
    <xf numFmtId="0" fontId="40" fillId="0" borderId="7" xfId="14" applyFont="1" applyBorder="1" applyAlignment="1">
      <alignment horizontal="center" vertical="center"/>
    </xf>
    <xf numFmtId="0" fontId="40" fillId="0" borderId="0" xfId="14" applyFont="1" applyAlignment="1">
      <alignment horizontal="center" vertical="center"/>
    </xf>
    <xf numFmtId="0" fontId="42" fillId="5" borderId="66" xfId="0" applyFont="1" applyFill="1" applyBorder="1" applyAlignment="1">
      <alignment horizontal="center" vertical="center" wrapText="1"/>
    </xf>
    <xf numFmtId="0" fontId="42" fillId="5" borderId="67" xfId="0" applyFont="1" applyFill="1" applyBorder="1" applyAlignment="1">
      <alignment horizontal="center" vertical="center" wrapText="1"/>
    </xf>
    <xf numFmtId="0" fontId="37" fillId="5" borderId="62" xfId="0" applyFont="1" applyFill="1" applyBorder="1" applyAlignment="1">
      <alignment horizontal="center" vertical="center" wrapText="1"/>
    </xf>
    <xf numFmtId="0" fontId="37" fillId="5" borderId="64" xfId="0" applyFont="1" applyFill="1" applyBorder="1" applyAlignment="1">
      <alignment horizontal="center" vertical="center" wrapText="1"/>
    </xf>
    <xf numFmtId="0" fontId="61" fillId="0" borderId="30" xfId="14" applyFont="1" applyBorder="1" applyAlignment="1">
      <alignment horizontal="center" vertical="center" shrinkToFit="1"/>
    </xf>
    <xf numFmtId="0" fontId="61" fillId="0" borderId="83" xfId="14" applyFont="1" applyBorder="1" applyAlignment="1">
      <alignment horizontal="center" vertical="center" shrinkToFit="1"/>
    </xf>
    <xf numFmtId="38" fontId="98" fillId="5" borderId="84" xfId="0" applyNumberFormat="1" applyFont="1" applyFill="1" applyBorder="1" applyAlignment="1">
      <alignment horizontal="right" vertical="center" shrinkToFit="1"/>
    </xf>
    <xf numFmtId="0" fontId="98" fillId="5" borderId="85" xfId="0" applyFont="1" applyFill="1" applyBorder="1" applyAlignment="1">
      <alignment horizontal="right" vertical="center" shrinkToFit="1"/>
    </xf>
    <xf numFmtId="0" fontId="44" fillId="16" borderId="37" xfId="0" applyFont="1" applyFill="1" applyBorder="1" applyAlignment="1">
      <alignment horizontal="left" vertical="center" wrapText="1"/>
    </xf>
    <xf numFmtId="0" fontId="44" fillId="16" borderId="37" xfId="0" applyFont="1" applyFill="1" applyBorder="1" applyAlignment="1">
      <alignment horizontal="left" vertical="center"/>
    </xf>
    <xf numFmtId="0" fontId="43" fillId="8" borderId="37" xfId="14" applyFont="1" applyFill="1" applyBorder="1" applyAlignment="1">
      <alignment horizontal="center" vertical="center"/>
    </xf>
    <xf numFmtId="0" fontId="44" fillId="8" borderId="37" xfId="0" applyFont="1" applyFill="1" applyBorder="1" applyAlignment="1">
      <alignment horizontal="center" vertical="center"/>
    </xf>
    <xf numFmtId="0" fontId="43" fillId="8" borderId="37" xfId="14" applyFont="1" applyFill="1" applyBorder="1" applyAlignment="1">
      <alignment horizontal="left" vertical="center"/>
    </xf>
    <xf numFmtId="0" fontId="50"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90" fillId="16" borderId="38" xfId="0" applyFont="1" applyFill="1" applyBorder="1" applyAlignment="1">
      <alignment horizontal="left" vertical="center" wrapText="1"/>
    </xf>
    <xf numFmtId="0" fontId="90" fillId="16" borderId="39" xfId="0" applyFont="1" applyFill="1" applyBorder="1" applyAlignment="1">
      <alignment horizontal="left" vertical="center" wrapText="1"/>
    </xf>
    <xf numFmtId="0" fontId="96" fillId="16" borderId="39" xfId="0" applyFont="1" applyFill="1" applyBorder="1" applyAlignment="1">
      <alignment horizontal="left" vertical="center" wrapText="1"/>
    </xf>
    <xf numFmtId="0" fontId="96" fillId="16" borderId="40" xfId="0" applyFont="1" applyFill="1" applyBorder="1" applyAlignment="1">
      <alignment horizontal="left" vertical="center" wrapText="1"/>
    </xf>
    <xf numFmtId="0" fontId="90" fillId="16" borderId="38" xfId="14" applyFont="1" applyFill="1" applyBorder="1" applyAlignment="1">
      <alignment horizontal="center" vertical="center" wrapText="1"/>
    </xf>
    <xf numFmtId="0" fontId="90" fillId="16" borderId="39" xfId="14" applyFont="1" applyFill="1" applyBorder="1" applyAlignment="1">
      <alignment horizontal="center" vertical="center" wrapText="1"/>
    </xf>
    <xf numFmtId="0" fontId="90" fillId="16" borderId="39" xfId="0" applyFont="1" applyFill="1" applyBorder="1" applyAlignment="1">
      <alignment horizontal="center" vertical="center" wrapText="1"/>
    </xf>
    <xf numFmtId="0" fontId="90" fillId="16" borderId="40" xfId="0" applyFont="1" applyFill="1" applyBorder="1" applyAlignment="1">
      <alignment horizontal="center" vertical="center" wrapText="1"/>
    </xf>
    <xf numFmtId="0" fontId="8" fillId="0" borderId="0" xfId="14" applyFont="1" applyAlignment="1">
      <alignment horizontal="left" vertical="center" wrapText="1"/>
    </xf>
    <xf numFmtId="0" fontId="43" fillId="2" borderId="37" xfId="14" applyFont="1" applyFill="1" applyBorder="1" applyAlignment="1">
      <alignment horizontal="center" vertical="center"/>
    </xf>
    <xf numFmtId="0" fontId="44" fillId="2" borderId="37" xfId="0" applyFont="1" applyFill="1" applyBorder="1" applyAlignment="1">
      <alignment horizontal="center" vertical="center"/>
    </xf>
    <xf numFmtId="0" fontId="43" fillId="0" borderId="37" xfId="14" applyFont="1" applyBorder="1" applyAlignment="1">
      <alignment horizontal="left" vertical="top"/>
    </xf>
    <xf numFmtId="0" fontId="38" fillId="3" borderId="38" xfId="0" applyFont="1" applyFill="1" applyBorder="1" applyAlignment="1">
      <alignment horizontal="left" vertical="center" shrinkToFit="1"/>
    </xf>
    <xf numFmtId="0" fontId="0" fillId="3" borderId="39" xfId="0" applyFill="1" applyBorder="1" applyAlignment="1">
      <alignment horizontal="left" vertical="center" shrinkToFit="1"/>
    </xf>
    <xf numFmtId="0" fontId="43" fillId="0" borderId="0" xfId="14" applyFont="1" applyAlignment="1">
      <alignment horizontal="left" vertical="center" wrapText="1"/>
    </xf>
    <xf numFmtId="0" fontId="43" fillId="0" borderId="3" xfId="14" applyFont="1" applyBorder="1" applyAlignment="1">
      <alignment horizontal="left" vertical="center" wrapText="1"/>
    </xf>
    <xf numFmtId="0" fontId="92" fillId="7" borderId="6" xfId="0" applyFont="1" applyFill="1" applyBorder="1" applyAlignment="1">
      <alignment horizontal="left" vertical="top" wrapText="1"/>
    </xf>
    <xf numFmtId="0" fontId="92" fillId="7" borderId="3" xfId="0" applyFont="1" applyFill="1" applyBorder="1" applyAlignment="1">
      <alignment horizontal="left" vertical="top" wrapText="1"/>
    </xf>
    <xf numFmtId="0" fontId="92" fillId="7" borderId="41" xfId="0" applyFont="1" applyFill="1" applyBorder="1" applyAlignment="1">
      <alignment horizontal="left" vertical="top" wrapText="1"/>
    </xf>
    <xf numFmtId="0" fontId="92" fillId="7" borderId="7" xfId="0" applyFont="1" applyFill="1" applyBorder="1" applyAlignment="1">
      <alignment horizontal="left" vertical="top" wrapText="1"/>
    </xf>
    <xf numFmtId="0" fontId="92" fillId="7" borderId="0" xfId="0" applyFont="1" applyFill="1" applyAlignment="1">
      <alignment horizontal="left" vertical="top" wrapText="1"/>
    </xf>
    <xf numFmtId="0" fontId="92" fillId="7" borderId="5" xfId="0" applyFont="1" applyFill="1" applyBorder="1" applyAlignment="1">
      <alignment horizontal="left" vertical="top" wrapText="1"/>
    </xf>
    <xf numFmtId="0" fontId="92" fillId="7" borderId="2" xfId="0" applyFont="1" applyFill="1" applyBorder="1" applyAlignment="1">
      <alignment horizontal="left" vertical="top" wrapText="1"/>
    </xf>
    <xf numFmtId="0" fontId="92" fillId="7" borderId="8" xfId="0" applyFont="1" applyFill="1" applyBorder="1" applyAlignment="1">
      <alignment horizontal="left" vertical="top" wrapText="1"/>
    </xf>
    <xf numFmtId="0" fontId="92" fillId="7" borderId="9" xfId="0" applyFont="1" applyFill="1" applyBorder="1" applyAlignment="1">
      <alignment horizontal="left" vertical="top" wrapText="1"/>
    </xf>
    <xf numFmtId="0" fontId="38" fillId="16" borderId="40" xfId="0" applyFont="1" applyFill="1" applyBorder="1" applyAlignment="1">
      <alignment horizontal="left" vertical="top" wrapText="1"/>
    </xf>
    <xf numFmtId="0" fontId="38" fillId="16" borderId="37" xfId="0" applyFont="1" applyFill="1" applyBorder="1" applyAlignment="1">
      <alignment horizontal="left" vertical="top" wrapText="1"/>
    </xf>
    <xf numFmtId="0" fontId="39" fillId="7" borderId="40" xfId="14" applyFont="1" applyFill="1" applyBorder="1" applyAlignment="1">
      <alignment horizontal="center" vertical="center"/>
    </xf>
    <xf numFmtId="0" fontId="0" fillId="16" borderId="39" xfId="0" applyFill="1" applyBorder="1" applyAlignment="1">
      <alignment horizontal="center" vertical="center" shrinkToFit="1"/>
    </xf>
    <xf numFmtId="0" fontId="43" fillId="2" borderId="38" xfId="14" applyFont="1" applyFill="1" applyBorder="1" applyAlignment="1">
      <alignment horizontal="left" vertical="center" wrapText="1"/>
    </xf>
    <xf numFmtId="0" fontId="43" fillId="2" borderId="39" xfId="0" applyFont="1" applyFill="1" applyBorder="1" applyAlignment="1">
      <alignment horizontal="left" vertical="center" wrapText="1"/>
    </xf>
    <xf numFmtId="0" fontId="43" fillId="2" borderId="37" xfId="0" applyFont="1" applyFill="1" applyBorder="1" applyAlignment="1">
      <alignment horizontal="left" vertical="center" wrapText="1"/>
    </xf>
    <xf numFmtId="0" fontId="43" fillId="2" borderId="38" xfId="0" applyFont="1" applyFill="1" applyBorder="1" applyAlignment="1">
      <alignment horizontal="left" vertical="center" wrapText="1"/>
    </xf>
    <xf numFmtId="0" fontId="43" fillId="2" borderId="40" xfId="0" applyFont="1" applyFill="1" applyBorder="1" applyAlignment="1">
      <alignment horizontal="left" vertical="center" wrapText="1"/>
    </xf>
    <xf numFmtId="0" fontId="97" fillId="5" borderId="38" xfId="14" applyFont="1" applyFill="1" applyBorder="1" applyAlignment="1">
      <alignment horizontal="center" vertical="center" wrapText="1"/>
    </xf>
    <xf numFmtId="0" fontId="97" fillId="5" borderId="39" xfId="0" applyFont="1" applyFill="1" applyBorder="1" applyAlignment="1">
      <alignment horizontal="center" vertical="center" wrapText="1"/>
    </xf>
    <xf numFmtId="0" fontId="97" fillId="5" borderId="37" xfId="0" applyFont="1" applyFill="1" applyBorder="1" applyAlignment="1">
      <alignment horizontal="center" vertical="center" wrapText="1"/>
    </xf>
    <xf numFmtId="191" fontId="97" fillId="5" borderId="38" xfId="1" applyNumberFormat="1" applyFont="1" applyFill="1" applyBorder="1" applyAlignment="1" applyProtection="1">
      <alignment horizontal="center" vertical="center" wrapText="1"/>
    </xf>
    <xf numFmtId="191" fontId="97" fillId="5" borderId="39" xfId="1" applyNumberFormat="1" applyFont="1" applyFill="1" applyBorder="1" applyAlignment="1" applyProtection="1">
      <alignment horizontal="center" vertical="center" wrapText="1"/>
    </xf>
    <xf numFmtId="191" fontId="97" fillId="5" borderId="40" xfId="1" applyNumberFormat="1" applyFont="1" applyFill="1" applyBorder="1" applyAlignment="1" applyProtection="1">
      <alignment horizontal="center" vertical="center" wrapText="1"/>
    </xf>
    <xf numFmtId="0" fontId="50" fillId="2" borderId="37" xfId="14" applyFont="1" applyFill="1" applyBorder="1" applyAlignment="1">
      <alignment horizontal="center" vertical="center" wrapText="1"/>
    </xf>
    <xf numFmtId="0" fontId="50" fillId="2" borderId="37" xfId="0" applyFont="1" applyFill="1" applyBorder="1" applyAlignment="1">
      <alignment horizontal="center" vertical="center" wrapText="1"/>
    </xf>
    <xf numFmtId="0" fontId="50" fillId="2" borderId="37" xfId="14" applyFont="1" applyFill="1" applyBorder="1" applyAlignment="1">
      <alignment horizontal="left" vertical="center" wrapText="1"/>
    </xf>
    <xf numFmtId="0" fontId="50" fillId="2" borderId="37" xfId="0" applyFont="1" applyFill="1" applyBorder="1" applyAlignment="1">
      <alignment horizontal="left" vertical="center" wrapText="1"/>
    </xf>
    <xf numFmtId="0" fontId="22" fillId="0" borderId="0" xfId="14" applyFont="1" applyAlignment="1">
      <alignment horizontal="left" vertical="center" wrapText="1"/>
    </xf>
    <xf numFmtId="0" fontId="53" fillId="0" borderId="0" xfId="0" applyFont="1" applyAlignment="1">
      <alignment horizontal="left" vertical="center" wrapText="1"/>
    </xf>
    <xf numFmtId="0" fontId="50"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3" fillId="10" borderId="38" xfId="0" applyFont="1" applyFill="1" applyBorder="1" applyAlignment="1">
      <alignment horizontal="center" vertical="center"/>
    </xf>
    <xf numFmtId="0" fontId="63" fillId="10" borderId="39" xfId="0" applyFont="1" applyFill="1" applyBorder="1" applyAlignment="1">
      <alignment horizontal="center" vertical="center"/>
    </xf>
    <xf numFmtId="0" fontId="63" fillId="10" borderId="40" xfId="0" applyFont="1" applyFill="1" applyBorder="1" applyAlignment="1">
      <alignment horizontal="center" vertical="center"/>
    </xf>
    <xf numFmtId="0" fontId="9" fillId="8" borderId="37" xfId="14" applyFont="1" applyFill="1" applyBorder="1" applyAlignment="1">
      <alignment horizontal="left" vertical="center"/>
    </xf>
    <xf numFmtId="0" fontId="9" fillId="0" borderId="37" xfId="0" applyFont="1" applyBorder="1" applyAlignment="1">
      <alignment horizontal="center" vertical="center" wrapText="1"/>
    </xf>
    <xf numFmtId="0" fontId="37" fillId="7" borderId="3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1" xfId="0" applyFont="1" applyBorder="1" applyAlignment="1">
      <alignment horizontal="center" vertical="center" wrapText="1"/>
    </xf>
    <xf numFmtId="0" fontId="37" fillId="7" borderId="42"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37"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3" xfId="0" applyFont="1" applyFill="1" applyBorder="1" applyAlignment="1">
      <alignment horizontal="left" vertical="center" wrapText="1"/>
    </xf>
    <xf numFmtId="0" fontId="37" fillId="7" borderId="41" xfId="0" applyFont="1" applyFill="1" applyBorder="1" applyAlignment="1">
      <alignment horizontal="left" vertical="center" wrapText="1"/>
    </xf>
    <xf numFmtId="0" fontId="8" fillId="16" borderId="38" xfId="0" applyFont="1" applyFill="1" applyBorder="1" applyAlignment="1">
      <alignment horizontal="center" vertical="center"/>
    </xf>
    <xf numFmtId="0" fontId="8" fillId="16" borderId="39" xfId="0" applyFont="1" applyFill="1" applyBorder="1" applyAlignment="1">
      <alignment horizontal="center" vertical="center"/>
    </xf>
    <xf numFmtId="0" fontId="8" fillId="16" borderId="40"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3" xfId="0" applyFont="1" applyFill="1" applyBorder="1" applyAlignment="1">
      <alignment horizontal="center" vertical="center"/>
    </xf>
    <xf numFmtId="0" fontId="8" fillId="16" borderId="41"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0" xfId="0" applyFont="1" applyFill="1" applyAlignment="1">
      <alignment horizontal="center" vertical="center"/>
    </xf>
    <xf numFmtId="0" fontId="8" fillId="16" borderId="5" xfId="0" applyFont="1" applyFill="1" applyBorder="1" applyAlignment="1">
      <alignment horizontal="center" vertical="center"/>
    </xf>
    <xf numFmtId="0" fontId="8" fillId="16" borderId="2" xfId="0" applyFont="1" applyFill="1" applyBorder="1" applyAlignment="1">
      <alignment horizontal="center" vertical="center"/>
    </xf>
    <xf numFmtId="0" fontId="8" fillId="16" borderId="8" xfId="0" applyFont="1" applyFill="1" applyBorder="1" applyAlignment="1">
      <alignment horizontal="center" vertical="center"/>
    </xf>
    <xf numFmtId="0" fontId="8" fillId="16" borderId="9" xfId="0" applyFont="1" applyFill="1" applyBorder="1" applyAlignment="1">
      <alignment horizontal="center" vertical="center"/>
    </xf>
    <xf numFmtId="0" fontId="8" fillId="0" borderId="37" xfId="0" applyFont="1" applyBorder="1" applyAlignment="1">
      <alignment horizontal="center" vertical="center"/>
    </xf>
    <xf numFmtId="0" fontId="8" fillId="16" borderId="37" xfId="0" applyFont="1" applyFill="1" applyBorder="1" applyAlignment="1">
      <alignment horizontal="center" vertical="center"/>
    </xf>
    <xf numFmtId="0" fontId="9" fillId="0" borderId="6"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41"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180" fontId="8" fillId="5" borderId="37" xfId="0" applyNumberFormat="1" applyFont="1" applyFill="1" applyBorder="1" applyAlignment="1">
      <alignment horizontal="center" vertical="center"/>
    </xf>
    <xf numFmtId="0" fontId="8" fillId="16" borderId="37" xfId="0" applyFont="1" applyFill="1" applyBorder="1" applyAlignment="1">
      <alignment horizontal="right" vertical="center"/>
    </xf>
    <xf numFmtId="0" fontId="9" fillId="16" borderId="6" xfId="0" applyFont="1" applyFill="1" applyBorder="1" applyAlignment="1">
      <alignment horizontal="center" vertical="center"/>
    </xf>
    <xf numFmtId="0" fontId="9" fillId="16" borderId="3" xfId="0" applyFont="1" applyFill="1" applyBorder="1" applyAlignment="1">
      <alignment horizontal="center" vertical="center"/>
    </xf>
    <xf numFmtId="0" fontId="9" fillId="16" borderId="41" xfId="0" applyFont="1" applyFill="1" applyBorder="1" applyAlignment="1">
      <alignment horizontal="center" vertical="center"/>
    </xf>
    <xf numFmtId="0" fontId="9" fillId="16" borderId="2"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37" xfId="0" applyFont="1" applyFill="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132" fillId="16" borderId="38" xfId="0" applyFont="1" applyFill="1" applyBorder="1" applyAlignment="1">
      <alignment horizontal="center" vertical="center" wrapText="1"/>
    </xf>
    <xf numFmtId="0" fontId="132" fillId="16" borderId="39" xfId="0" applyFont="1" applyFill="1" applyBorder="1" applyAlignment="1">
      <alignment horizontal="center" vertical="center" wrapText="1"/>
    </xf>
    <xf numFmtId="0" fontId="132" fillId="16" borderId="40" xfId="0" applyFont="1" applyFill="1" applyBorder="1" applyAlignment="1">
      <alignment horizontal="center" vertical="center" wrapText="1"/>
    </xf>
    <xf numFmtId="0" fontId="45" fillId="16" borderId="38" xfId="0" applyFont="1" applyFill="1" applyBorder="1" applyAlignment="1">
      <alignment horizontal="center" vertical="center" wrapText="1"/>
    </xf>
    <xf numFmtId="0" fontId="45" fillId="16" borderId="39" xfId="0" applyFont="1" applyFill="1" applyBorder="1" applyAlignment="1">
      <alignment horizontal="center" vertical="center" wrapText="1"/>
    </xf>
    <xf numFmtId="0" fontId="45" fillId="16" borderId="40" xfId="0" applyFont="1" applyFill="1" applyBorder="1" applyAlignment="1">
      <alignment horizontal="center" vertical="center" wrapText="1"/>
    </xf>
    <xf numFmtId="0" fontId="56" fillId="0" borderId="4" xfId="0" applyFont="1" applyBorder="1" applyAlignment="1">
      <alignment horizontal="center" vertical="center"/>
    </xf>
    <xf numFmtId="0" fontId="56" fillId="0" borderId="7" xfId="0" applyFont="1" applyBorder="1" applyAlignment="1">
      <alignment horizontal="center" vertical="center"/>
    </xf>
    <xf numFmtId="0" fontId="9" fillId="7" borderId="37" xfId="0" applyFont="1" applyFill="1" applyBorder="1" applyAlignment="1">
      <alignment horizontal="center" vertical="center" wrapText="1"/>
    </xf>
    <xf numFmtId="0" fontId="51" fillId="0" borderId="0" xfId="0" applyFont="1" applyAlignment="1">
      <alignment horizontal="center" vertical="center"/>
    </xf>
    <xf numFmtId="0" fontId="9" fillId="7"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7" borderId="42" xfId="0" applyFont="1" applyFill="1" applyBorder="1" applyAlignment="1">
      <alignment horizontal="center" vertical="center" wrapText="1"/>
    </xf>
    <xf numFmtId="0" fontId="37" fillId="7" borderId="38" xfId="0" applyFont="1" applyFill="1" applyBorder="1" applyAlignment="1">
      <alignment horizontal="center" vertical="center" wrapText="1"/>
    </xf>
    <xf numFmtId="0" fontId="37" fillId="7" borderId="70" xfId="0" applyFont="1" applyFill="1" applyBorder="1" applyAlignment="1">
      <alignment horizontal="center" vertical="center" wrapText="1"/>
    </xf>
    <xf numFmtId="0" fontId="37" fillId="7" borderId="73" xfId="0" applyFont="1" applyFill="1" applyBorder="1" applyAlignment="1">
      <alignment horizontal="center" vertical="center" wrapText="1"/>
    </xf>
    <xf numFmtId="0" fontId="37" fillId="7" borderId="74" xfId="0" applyFont="1" applyFill="1" applyBorder="1" applyAlignment="1">
      <alignment horizontal="center" vertical="center" wrapText="1"/>
    </xf>
    <xf numFmtId="0" fontId="39" fillId="16" borderId="37" xfId="14" applyFont="1" applyFill="1" applyBorder="1" applyAlignment="1">
      <alignment horizontal="center" vertical="center"/>
    </xf>
    <xf numFmtId="0" fontId="38" fillId="0" borderId="39"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43" fillId="0" borderId="0" xfId="0" applyFont="1" applyAlignment="1">
      <alignment horizontal="left" vertical="center" wrapText="1"/>
    </xf>
    <xf numFmtId="0" fontId="9" fillId="0" borderId="0" xfId="0" applyFont="1" applyAlignment="1">
      <alignment horizontal="left" vertical="center" wrapText="1"/>
    </xf>
    <xf numFmtId="0" fontId="37" fillId="16" borderId="71" xfId="14" applyFont="1" applyFill="1" applyBorder="1" applyAlignment="1">
      <alignment horizontal="center" vertical="center" wrapText="1"/>
    </xf>
    <xf numFmtId="0" fontId="39" fillId="16" borderId="72" xfId="0" applyFont="1" applyFill="1" applyBorder="1" applyAlignment="1">
      <alignment horizontal="center" vertical="center" wrapText="1"/>
    </xf>
    <xf numFmtId="0" fontId="38" fillId="0" borderId="65" xfId="0" applyFont="1" applyBorder="1" applyAlignment="1">
      <alignment horizontal="left" vertical="center" wrapText="1"/>
    </xf>
    <xf numFmtId="0" fontId="38" fillId="0" borderId="0" xfId="0" applyFont="1" applyAlignment="1">
      <alignment horizontal="left" vertical="center" wrapText="1"/>
    </xf>
    <xf numFmtId="0" fontId="26" fillId="16" borderId="38" xfId="0" applyFont="1" applyFill="1" applyBorder="1" applyAlignment="1">
      <alignment horizontal="left" vertical="top" wrapText="1"/>
    </xf>
    <xf numFmtId="0" fontId="26" fillId="16" borderId="39" xfId="0" applyFont="1" applyFill="1" applyBorder="1" applyAlignment="1">
      <alignment horizontal="left" vertical="top" wrapText="1"/>
    </xf>
    <xf numFmtId="0" fontId="26" fillId="16" borderId="40" xfId="0" applyFont="1" applyFill="1" applyBorder="1" applyAlignment="1">
      <alignment horizontal="left" vertical="top" wrapText="1"/>
    </xf>
    <xf numFmtId="0" fontId="38" fillId="3" borderId="37" xfId="0" applyFont="1" applyFill="1" applyBorder="1" applyAlignment="1">
      <alignment horizontal="center" vertical="center" shrinkToFit="1"/>
    </xf>
    <xf numFmtId="0" fontId="38" fillId="3" borderId="38" xfId="0" applyFont="1" applyFill="1" applyBorder="1" applyAlignment="1">
      <alignment horizontal="center" vertical="center" shrinkToFit="1"/>
    </xf>
    <xf numFmtId="0" fontId="39" fillId="16" borderId="40" xfId="14" applyFont="1" applyFill="1" applyBorder="1" applyAlignment="1">
      <alignment horizontal="center" vertical="center"/>
    </xf>
    <xf numFmtId="0" fontId="38" fillId="3" borderId="37"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3" borderId="38" xfId="0" applyFont="1" applyFill="1" applyBorder="1" applyAlignment="1">
      <alignment horizontal="left" vertical="center" shrinkToFit="1"/>
    </xf>
    <xf numFmtId="0" fontId="2" fillId="16" borderId="40" xfId="0" applyFont="1" applyFill="1" applyBorder="1" applyAlignment="1">
      <alignment horizontal="center" vertical="center" shrinkToFit="1"/>
    </xf>
    <xf numFmtId="0" fontId="2" fillId="16" borderId="37" xfId="0" applyFont="1" applyFill="1" applyBorder="1" applyAlignment="1">
      <alignment horizontal="center" vertical="center" shrinkToFit="1"/>
    </xf>
    <xf numFmtId="0" fontId="2" fillId="16" borderId="38" xfId="0" applyFont="1" applyFill="1" applyBorder="1" applyAlignment="1">
      <alignment horizontal="center" vertical="center" shrinkToFi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1"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0" borderId="3" xfId="0" applyFont="1" applyBorder="1" applyAlignment="1">
      <alignment horizontal="left" vertical="center"/>
    </xf>
    <xf numFmtId="0" fontId="43" fillId="0" borderId="0" xfId="0" applyFont="1" applyAlignment="1">
      <alignment horizontal="left" vertical="center"/>
    </xf>
    <xf numFmtId="0" fontId="90" fillId="16" borderId="127" xfId="0" applyFont="1" applyFill="1" applyBorder="1" applyAlignment="1">
      <alignment horizontal="center" vertical="center" wrapText="1"/>
    </xf>
    <xf numFmtId="0" fontId="90" fillId="16" borderId="128" xfId="0" applyFont="1" applyFill="1" applyBorder="1" applyAlignment="1">
      <alignment horizontal="center" vertical="center" wrapText="1"/>
    </xf>
    <xf numFmtId="0" fontId="90" fillId="16" borderId="149" xfId="0" applyFont="1" applyFill="1" applyBorder="1" applyAlignment="1">
      <alignment horizontal="center" vertical="center" wrapText="1"/>
    </xf>
    <xf numFmtId="0" fontId="90" fillId="16" borderId="150" xfId="0" applyFont="1" applyFill="1" applyBorder="1" applyAlignment="1">
      <alignment horizontal="center" vertical="center" wrapText="1"/>
    </xf>
    <xf numFmtId="0" fontId="90" fillId="16" borderId="49" xfId="0" applyFont="1" applyFill="1" applyBorder="1" applyAlignment="1">
      <alignment horizontal="center" vertical="center" wrapText="1"/>
    </xf>
    <xf numFmtId="0" fontId="90" fillId="16" borderId="151" xfId="0" applyFont="1" applyFill="1" applyBorder="1" applyAlignment="1">
      <alignment horizontal="center" vertical="center" wrapText="1"/>
    </xf>
    <xf numFmtId="0" fontId="90" fillId="16" borderId="97" xfId="0" applyFont="1" applyFill="1" applyBorder="1" applyAlignment="1">
      <alignment horizontal="center" vertical="center" wrapText="1"/>
    </xf>
    <xf numFmtId="0" fontId="90" fillId="16" borderId="96" xfId="0" applyFont="1" applyFill="1" applyBorder="1" applyAlignment="1">
      <alignment horizontal="center" vertical="center" wrapText="1"/>
    </xf>
    <xf numFmtId="0" fontId="90" fillId="16" borderId="129" xfId="0" applyFont="1" applyFill="1" applyBorder="1" applyAlignment="1">
      <alignment horizontal="center" vertical="center" wrapText="1"/>
    </xf>
    <xf numFmtId="0" fontId="90" fillId="16" borderId="152" xfId="0" applyFont="1" applyFill="1" applyBorder="1" applyAlignment="1">
      <alignment horizontal="center" vertical="center" wrapText="1"/>
    </xf>
    <xf numFmtId="0" fontId="52" fillId="0" borderId="109" xfId="0" applyFont="1" applyBorder="1" applyAlignment="1">
      <alignment horizontal="center" vertical="center" wrapText="1"/>
    </xf>
    <xf numFmtId="0" fontId="52" fillId="0" borderId="50" xfId="0" applyFont="1" applyBorder="1" applyAlignment="1">
      <alignment horizontal="center" vertical="center" wrapText="1"/>
    </xf>
    <xf numFmtId="0" fontId="19" fillId="0" borderId="13" xfId="0" applyFont="1" applyBorder="1" applyAlignment="1">
      <alignment horizontal="left" vertical="center"/>
    </xf>
    <xf numFmtId="0" fontId="0" fillId="0" borderId="13" xfId="0" applyBorder="1" applyAlignment="1">
      <alignment horizontal="left" vertical="center"/>
    </xf>
    <xf numFmtId="180" fontId="19" fillId="5" borderId="13" xfId="0" applyNumberFormat="1" applyFont="1" applyFill="1" applyBorder="1" applyAlignment="1">
      <alignment horizontal="left" vertical="center"/>
    </xf>
    <xf numFmtId="180" fontId="0" fillId="5" borderId="13" xfId="0" applyNumberFormat="1" applyFill="1" applyBorder="1" applyAlignment="1">
      <alignment horizontal="left" vertical="center"/>
    </xf>
    <xf numFmtId="0" fontId="52" fillId="0" borderId="127"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110" xfId="0" applyFont="1" applyBorder="1" applyAlignment="1">
      <alignment horizontal="center" vertical="center" wrapText="1"/>
    </xf>
    <xf numFmtId="0" fontId="52" fillId="0" borderId="101" xfId="0" applyFont="1" applyBorder="1" applyAlignment="1">
      <alignment horizontal="center" vertical="center" wrapText="1"/>
    </xf>
    <xf numFmtId="0" fontId="8" fillId="0" borderId="0" xfId="0" applyFont="1" applyAlignment="1">
      <alignment horizontal="left" vertical="top" wrapText="1"/>
    </xf>
    <xf numFmtId="0" fontId="8" fillId="16" borderId="42" xfId="0" applyFont="1" applyFill="1" applyBorder="1" applyAlignment="1">
      <alignment horizontal="left" vertical="top" wrapText="1"/>
    </xf>
    <xf numFmtId="0" fontId="8" fillId="16" borderId="42" xfId="0" applyFont="1" applyFill="1" applyBorder="1" applyAlignment="1">
      <alignment horizontal="left" vertical="center" wrapText="1"/>
    </xf>
    <xf numFmtId="0" fontId="8" fillId="16" borderId="4" xfId="0" applyFont="1" applyFill="1" applyBorder="1" applyAlignment="1">
      <alignment horizontal="left" vertical="top" wrapText="1"/>
    </xf>
    <xf numFmtId="0" fontId="8" fillId="16" borderId="4" xfId="0" applyFont="1" applyFill="1" applyBorder="1" applyAlignment="1">
      <alignment horizontal="left" vertical="center" wrapText="1"/>
    </xf>
    <xf numFmtId="0" fontId="8" fillId="16" borderId="1" xfId="0" applyFont="1" applyFill="1" applyBorder="1" applyAlignment="1">
      <alignment horizontal="left" vertical="top" wrapText="1"/>
    </xf>
    <xf numFmtId="0" fontId="8" fillId="16" borderId="37" xfId="0" applyFont="1" applyFill="1" applyBorder="1" applyAlignment="1">
      <alignment horizontal="left" vertical="top" wrapText="1"/>
    </xf>
    <xf numFmtId="0" fontId="69" fillId="0" borderId="0" xfId="0" applyFont="1" applyAlignment="1">
      <alignment horizontal="center" vertical="center"/>
    </xf>
    <xf numFmtId="0" fontId="0" fillId="0" borderId="0" xfId="0" applyAlignment="1">
      <alignment horizontal="left" vertical="center"/>
    </xf>
    <xf numFmtId="0" fontId="114" fillId="16" borderId="37" xfId="0" applyFont="1" applyFill="1" applyBorder="1" applyAlignment="1">
      <alignment horizontal="center" vertical="center"/>
    </xf>
    <xf numFmtId="0" fontId="0" fillId="0" borderId="37" xfId="0" applyBorder="1" applyAlignment="1">
      <alignment horizontal="left" vertical="center" wrapText="1"/>
    </xf>
    <xf numFmtId="0" fontId="16" fillId="0" borderId="37" xfId="0" applyFont="1" applyBorder="1" applyAlignment="1">
      <alignment horizontal="left" vertical="center" wrapText="1"/>
    </xf>
    <xf numFmtId="0" fontId="0" fillId="0" borderId="37" xfId="0" applyBorder="1" applyAlignment="1">
      <alignment horizontal="center" vertical="center" wrapText="1"/>
    </xf>
    <xf numFmtId="0" fontId="81" fillId="0" borderId="37" xfId="0" applyFont="1" applyBorder="1" applyAlignment="1">
      <alignment horizontal="left" vertical="center" wrapText="1"/>
    </xf>
    <xf numFmtId="0" fontId="16" fillId="0" borderId="37" xfId="0" applyFont="1" applyBorder="1" applyAlignment="1">
      <alignment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81" fillId="0" borderId="42" xfId="0" applyFont="1" applyBorder="1" applyAlignment="1">
      <alignment horizontal="left" vertical="center"/>
    </xf>
    <xf numFmtId="0" fontId="81" fillId="0" borderId="1" xfId="0" applyFont="1" applyBorder="1" applyAlignment="1">
      <alignment horizontal="left" vertical="center"/>
    </xf>
    <xf numFmtId="0" fontId="114" fillId="16" borderId="42" xfId="0" applyFont="1" applyFill="1" applyBorder="1" applyAlignment="1">
      <alignment horizontal="center" vertical="center"/>
    </xf>
    <xf numFmtId="0" fontId="114" fillId="16" borderId="4" xfId="0" applyFont="1" applyFill="1" applyBorder="1" applyAlignment="1">
      <alignment horizontal="center" vertical="center"/>
    </xf>
    <xf numFmtId="0" fontId="114" fillId="16" borderId="1" xfId="0" applyFont="1" applyFill="1" applyBorder="1" applyAlignment="1">
      <alignment horizontal="center" vertical="center"/>
    </xf>
    <xf numFmtId="0" fontId="0" fillId="0" borderId="4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42"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6" fillId="0" borderId="42" xfId="0" applyFont="1" applyBorder="1" applyAlignment="1">
      <alignment vertical="center" wrapText="1"/>
    </xf>
    <xf numFmtId="0" fontId="16" fillId="0" borderId="1" xfId="0" applyFont="1" applyBorder="1" applyAlignment="1">
      <alignment vertical="center" wrapText="1"/>
    </xf>
    <xf numFmtId="0" fontId="16" fillId="0" borderId="37" xfId="0" applyFont="1" applyBorder="1" applyAlignment="1">
      <alignment vertical="center" wrapText="1"/>
    </xf>
    <xf numFmtId="0" fontId="0" fillId="0" borderId="4" xfId="0" applyBorder="1" applyAlignment="1">
      <alignment horizontal="center" vertical="center" wrapText="1"/>
    </xf>
    <xf numFmtId="0" fontId="81" fillId="0" borderId="42" xfId="0" applyFont="1" applyBorder="1" applyAlignment="1">
      <alignment vertical="center" wrapText="1"/>
    </xf>
    <xf numFmtId="0" fontId="81" fillId="0" borderId="1" xfId="0" applyFont="1" applyBorder="1" applyAlignment="1">
      <alignment vertical="center" wrapText="1"/>
    </xf>
    <xf numFmtId="0" fontId="16" fillId="0" borderId="42" xfId="0" applyFont="1" applyBorder="1" applyAlignment="1">
      <alignment horizontal="left" vertical="center" wrapText="1"/>
    </xf>
    <xf numFmtId="0" fontId="9" fillId="0" borderId="103" xfId="6" applyFont="1" applyBorder="1" applyAlignment="1">
      <alignment horizontal="center" vertical="center" wrapText="1" shrinkToFit="1"/>
    </xf>
    <xf numFmtId="0" fontId="9" fillId="8" borderId="38" xfId="6" applyFont="1" applyFill="1" applyBorder="1" applyAlignment="1">
      <alignment horizontal="center" vertical="center" wrapText="1"/>
    </xf>
    <xf numFmtId="0" fontId="9" fillId="8" borderId="39" xfId="6" applyFont="1" applyFill="1" applyBorder="1" applyAlignment="1">
      <alignment horizontal="center" vertical="center"/>
    </xf>
    <xf numFmtId="0" fontId="9" fillId="8" borderId="40" xfId="6" applyFont="1" applyFill="1" applyBorder="1" applyAlignment="1">
      <alignment horizontal="center" vertical="center"/>
    </xf>
    <xf numFmtId="0" fontId="9" fillId="5" borderId="38" xfId="6" applyFont="1" applyFill="1" applyBorder="1" applyAlignment="1">
      <alignment horizontal="left" vertical="center" wrapText="1" shrinkToFit="1"/>
    </xf>
    <xf numFmtId="0" fontId="9" fillId="5" borderId="39" xfId="6" applyFont="1" applyFill="1" applyBorder="1" applyAlignment="1">
      <alignment horizontal="left" vertical="center" wrapText="1" shrinkToFit="1"/>
    </xf>
    <xf numFmtId="0" fontId="9" fillId="5" borderId="40" xfId="6" applyFont="1" applyFill="1" applyBorder="1" applyAlignment="1">
      <alignment horizontal="left" vertical="center" wrapText="1" shrinkToFit="1"/>
    </xf>
    <xf numFmtId="0" fontId="9" fillId="0" borderId="37" xfId="6" applyFont="1" applyBorder="1" applyAlignment="1">
      <alignment horizontal="left" vertical="center" wrapText="1" shrinkToFit="1"/>
    </xf>
    <xf numFmtId="0" fontId="37" fillId="16" borderId="37" xfId="6" applyFont="1" applyFill="1" applyBorder="1" applyAlignment="1">
      <alignment horizontal="left" vertical="center"/>
    </xf>
    <xf numFmtId="0" fontId="9" fillId="16" borderId="37" xfId="6" applyFont="1" applyFill="1" applyBorder="1" applyAlignment="1">
      <alignment horizontal="left" vertical="center"/>
    </xf>
    <xf numFmtId="0" fontId="9" fillId="0" borderId="3" xfId="6" applyFont="1" applyBorder="1" applyAlignment="1">
      <alignment horizontal="left" vertical="top" wrapText="1"/>
    </xf>
    <xf numFmtId="0" fontId="37" fillId="16" borderId="105" xfId="6" applyFont="1" applyFill="1" applyBorder="1" applyAlignment="1">
      <alignment horizontal="center" vertical="center" wrapText="1" shrinkToFit="1"/>
    </xf>
    <xf numFmtId="0" fontId="37" fillId="16" borderId="106" xfId="6" applyFont="1" applyFill="1" applyBorder="1" applyAlignment="1">
      <alignment horizontal="center" vertical="center" wrapText="1" shrinkToFit="1"/>
    </xf>
    <xf numFmtId="0" fontId="37" fillId="16" borderId="7" xfId="6" applyFont="1" applyFill="1" applyBorder="1" applyAlignment="1">
      <alignment horizontal="center" vertical="center" wrapText="1" shrinkToFit="1"/>
    </xf>
    <xf numFmtId="0" fontId="37" fillId="16" borderId="5" xfId="6" applyFont="1" applyFill="1" applyBorder="1" applyAlignment="1">
      <alignment horizontal="center" vertical="center" wrapText="1" shrinkToFit="1"/>
    </xf>
    <xf numFmtId="0" fontId="9" fillId="0" borderId="1" xfId="6" applyFont="1" applyBorder="1" applyAlignment="1">
      <alignment horizontal="left" vertical="center" wrapText="1" shrinkToFit="1"/>
    </xf>
    <xf numFmtId="0" fontId="37" fillId="16" borderId="6" xfId="6" applyFont="1" applyFill="1" applyBorder="1" applyAlignment="1">
      <alignment horizontal="center" vertical="center" wrapText="1" shrinkToFit="1"/>
    </xf>
    <xf numFmtId="0" fontId="37" fillId="16" borderId="41" xfId="6" applyFont="1" applyFill="1" applyBorder="1" applyAlignment="1">
      <alignment horizontal="center" vertical="center" wrapText="1" shrinkToFit="1"/>
    </xf>
    <xf numFmtId="0" fontId="37" fillId="16" borderId="2" xfId="6" applyFont="1" applyFill="1" applyBorder="1" applyAlignment="1">
      <alignment horizontal="center" vertical="center" wrapText="1" shrinkToFit="1"/>
    </xf>
    <xf numFmtId="0" fontId="37" fillId="16" borderId="9" xfId="6" applyFont="1" applyFill="1" applyBorder="1" applyAlignment="1">
      <alignment horizontal="center" vertical="center" wrapText="1" shrinkToFit="1"/>
    </xf>
    <xf numFmtId="0" fontId="37" fillId="16" borderId="37" xfId="6" applyFont="1" applyFill="1" applyBorder="1" applyAlignment="1">
      <alignment horizontal="center" vertical="center" wrapText="1" shrinkToFit="1"/>
    </xf>
    <xf numFmtId="0" fontId="9" fillId="0" borderId="0" xfId="6" applyFont="1" applyAlignment="1">
      <alignment horizontal="left" vertical="top" wrapText="1"/>
    </xf>
    <xf numFmtId="0" fontId="37" fillId="16" borderId="38" xfId="6" applyFont="1" applyFill="1" applyBorder="1" applyAlignment="1">
      <alignment horizontal="left" vertical="center" wrapText="1" shrinkToFit="1"/>
    </xf>
    <xf numFmtId="0" fontId="26" fillId="16" borderId="39" xfId="6" applyFont="1" applyFill="1" applyBorder="1" applyAlignment="1">
      <alignment horizontal="left" vertical="center" wrapText="1" shrinkToFit="1"/>
    </xf>
    <xf numFmtId="0" fontId="26" fillId="16" borderId="40" xfId="6" applyFont="1" applyFill="1" applyBorder="1" applyAlignment="1">
      <alignment horizontal="left" vertical="center" wrapText="1" shrinkToFit="1"/>
    </xf>
    <xf numFmtId="0" fontId="9" fillId="0" borderId="37" xfId="6" applyFont="1" applyBorder="1" applyAlignment="1">
      <alignment horizontal="center" vertical="center" wrapText="1" shrinkToFit="1"/>
    </xf>
    <xf numFmtId="0" fontId="9" fillId="0" borderId="37" xfId="6" applyFont="1" applyBorder="1" applyAlignment="1">
      <alignment horizontal="center" vertical="center"/>
    </xf>
    <xf numFmtId="0" fontId="9" fillId="0" borderId="103" xfId="6" applyFont="1" applyBorder="1" applyAlignment="1">
      <alignment horizontal="center" vertical="center"/>
    </xf>
    <xf numFmtId="0" fontId="9" fillId="0" borderId="38" xfId="6" applyFont="1" applyBorder="1" applyAlignment="1">
      <alignment horizontal="center" vertical="center"/>
    </xf>
    <xf numFmtId="0" fontId="9" fillId="0" borderId="40" xfId="6" applyFont="1" applyBorder="1" applyAlignment="1">
      <alignment horizontal="center" vertical="center"/>
    </xf>
    <xf numFmtId="0" fontId="9" fillId="0" borderId="103" xfId="6" applyFont="1" applyBorder="1" applyAlignment="1">
      <alignment horizontal="center" vertical="center" wrapText="1"/>
    </xf>
    <xf numFmtId="0" fontId="37" fillId="16" borderId="37" xfId="6" applyFont="1" applyFill="1" applyBorder="1" applyAlignment="1">
      <alignment horizontal="left" vertical="center" wrapText="1" shrinkToFit="1"/>
    </xf>
    <xf numFmtId="200" fontId="37" fillId="16" borderId="37" xfId="6" applyNumberFormat="1" applyFont="1" applyFill="1" applyBorder="1" applyAlignment="1">
      <alignment horizontal="right" vertical="center"/>
    </xf>
    <xf numFmtId="200" fontId="9" fillId="5" borderId="37" xfId="6" applyNumberFormat="1" applyFont="1" applyFill="1" applyBorder="1" applyAlignment="1">
      <alignment horizontal="right" vertical="center"/>
    </xf>
    <xf numFmtId="0" fontId="9" fillId="0" borderId="77" xfId="6" applyFont="1" applyBorder="1" applyAlignment="1">
      <alignment horizontal="center" vertical="center"/>
    </xf>
    <xf numFmtId="0" fontId="9" fillId="5" borderId="1" xfId="6" applyFont="1" applyFill="1" applyBorder="1" applyAlignment="1">
      <alignment horizontal="left" vertical="center" wrapText="1" shrinkToFit="1"/>
    </xf>
    <xf numFmtId="200" fontId="9" fillId="5" borderId="1" xfId="6" applyNumberFormat="1" applyFont="1" applyFill="1" applyBorder="1" applyAlignment="1">
      <alignment horizontal="right" vertical="center"/>
    </xf>
    <xf numFmtId="0" fontId="9" fillId="0" borderId="104" xfId="6" applyFont="1" applyBorder="1" applyAlignment="1">
      <alignment horizontal="center" vertical="center"/>
    </xf>
    <xf numFmtId="0" fontId="9" fillId="0" borderId="1" xfId="6" applyFont="1" applyBorder="1" applyAlignment="1">
      <alignment horizontal="left" vertical="center" wrapText="1"/>
    </xf>
    <xf numFmtId="0" fontId="9" fillId="0" borderId="1" xfId="6" applyFont="1" applyBorder="1" applyAlignment="1">
      <alignment horizontal="left" vertical="center"/>
    </xf>
    <xf numFmtId="0" fontId="9" fillId="0" borderId="37" xfId="6" applyFont="1" applyBorder="1" applyAlignment="1">
      <alignment horizontal="left" vertical="center" wrapText="1"/>
    </xf>
    <xf numFmtId="0" fontId="9" fillId="0" borderId="37" xfId="6" applyFont="1" applyBorder="1" applyAlignment="1">
      <alignment horizontal="left" vertical="center"/>
    </xf>
    <xf numFmtId="0" fontId="9" fillId="16" borderId="2" xfId="6" applyFont="1" applyFill="1" applyBorder="1" applyAlignment="1">
      <alignment horizontal="center" vertical="top"/>
    </xf>
    <xf numFmtId="0" fontId="9" fillId="16" borderId="8" xfId="6" applyFont="1" applyFill="1" applyBorder="1" applyAlignment="1">
      <alignment horizontal="center" vertical="top"/>
    </xf>
    <xf numFmtId="0" fontId="9" fillId="16" borderId="9" xfId="6" applyFont="1" applyFill="1" applyBorder="1" applyAlignment="1">
      <alignment horizontal="center" vertical="top"/>
    </xf>
    <xf numFmtId="0" fontId="37" fillId="16" borderId="37" xfId="6" applyFont="1" applyFill="1" applyBorder="1" applyAlignment="1">
      <alignment horizontal="left" vertical="top" wrapText="1" shrinkToFit="1"/>
    </xf>
    <xf numFmtId="0" fontId="9" fillId="0" borderId="130" xfId="6" applyFont="1" applyBorder="1" applyAlignment="1">
      <alignment horizontal="center" vertical="center"/>
    </xf>
    <xf numFmtId="0" fontId="9" fillId="0" borderId="144" xfId="6" applyFont="1" applyBorder="1" applyAlignment="1">
      <alignment horizontal="center" vertical="center"/>
    </xf>
    <xf numFmtId="0" fontId="9" fillId="0" borderId="131" xfId="6" applyFont="1" applyBorder="1" applyAlignment="1">
      <alignment horizontal="center" vertical="center"/>
    </xf>
    <xf numFmtId="0" fontId="9" fillId="0" borderId="107" xfId="6" applyFont="1" applyBorder="1" applyAlignment="1">
      <alignment horizontal="left" vertical="center"/>
    </xf>
    <xf numFmtId="0" fontId="9" fillId="0" borderId="111" xfId="6" applyFont="1" applyBorder="1" applyAlignment="1">
      <alignment horizontal="left" vertical="center"/>
    </xf>
    <xf numFmtId="0" fontId="9" fillId="0" borderId="108" xfId="6" applyFont="1" applyBorder="1" applyAlignment="1">
      <alignment horizontal="left" vertical="center"/>
    </xf>
    <xf numFmtId="0" fontId="9" fillId="16" borderId="39" xfId="6" applyFont="1" applyFill="1" applyBorder="1" applyAlignment="1">
      <alignment horizontal="center" vertical="center"/>
    </xf>
    <xf numFmtId="0" fontId="9" fillId="16" borderId="6" xfId="6" applyFont="1" applyFill="1" applyBorder="1" applyAlignment="1">
      <alignment horizontal="left" vertical="top" wrapText="1" shrinkToFit="1"/>
    </xf>
    <xf numFmtId="0" fontId="9" fillId="16" borderId="3" xfId="6" applyFont="1" applyFill="1" applyBorder="1" applyAlignment="1">
      <alignment horizontal="left" vertical="top" wrapText="1" shrinkToFit="1"/>
    </xf>
    <xf numFmtId="0" fontId="9" fillId="16" borderId="41" xfId="6" applyFont="1" applyFill="1" applyBorder="1" applyAlignment="1">
      <alignment horizontal="left" vertical="top" wrapText="1" shrinkToFit="1"/>
    </xf>
    <xf numFmtId="0" fontId="9" fillId="16" borderId="7" xfId="6" applyFont="1" applyFill="1" applyBorder="1" applyAlignment="1">
      <alignment horizontal="left" vertical="top" wrapText="1" shrinkToFit="1"/>
    </xf>
    <xf numFmtId="0" fontId="9" fillId="16" borderId="0" xfId="6" applyFont="1" applyFill="1" applyAlignment="1">
      <alignment horizontal="left" vertical="top" wrapText="1" shrinkToFit="1"/>
    </xf>
    <xf numFmtId="0" fontId="9" fillId="16" borderId="5" xfId="6" applyFont="1" applyFill="1" applyBorder="1" applyAlignment="1">
      <alignment horizontal="left" vertical="top" wrapText="1" shrinkToFit="1"/>
    </xf>
    <xf numFmtId="0" fontId="9" fillId="16" borderId="2" xfId="6" applyFont="1" applyFill="1" applyBorder="1" applyAlignment="1">
      <alignment horizontal="left" vertical="top" wrapText="1" shrinkToFit="1"/>
    </xf>
    <xf numFmtId="0" fontId="9" fillId="16" borderId="8" xfId="6" applyFont="1" applyFill="1" applyBorder="1" applyAlignment="1">
      <alignment horizontal="left" vertical="top" wrapText="1" shrinkToFit="1"/>
    </xf>
    <xf numFmtId="0" fontId="9" fillId="16" borderId="9"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6" xfId="6" applyFont="1" applyBorder="1" applyAlignment="1">
      <alignment horizontal="left" vertical="center" wrapText="1" shrinkToFit="1"/>
    </xf>
    <xf numFmtId="0" fontId="9" fillId="0" borderId="3" xfId="6" applyFont="1" applyBorder="1" applyAlignment="1">
      <alignment horizontal="left" vertical="center" wrapText="1" shrinkToFit="1"/>
    </xf>
    <xf numFmtId="0" fontId="9" fillId="0" borderId="41" xfId="6" applyFont="1" applyBorder="1" applyAlignment="1">
      <alignment horizontal="left" vertical="center" wrapText="1" shrinkToFit="1"/>
    </xf>
    <xf numFmtId="0" fontId="9" fillId="0" borderId="7"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5" xfId="6" applyFont="1" applyBorder="1" applyAlignment="1">
      <alignment horizontal="left" vertical="center" wrapText="1" shrinkToFit="1"/>
    </xf>
    <xf numFmtId="0" fontId="9" fillId="0" borderId="2"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9" xfId="6" applyFont="1" applyBorder="1" applyAlignment="1">
      <alignment horizontal="left" vertical="center" wrapText="1" shrinkToFit="1"/>
    </xf>
    <xf numFmtId="197" fontId="37" fillId="16" borderId="37" xfId="6" applyNumberFormat="1" applyFont="1" applyFill="1" applyBorder="1" applyAlignment="1">
      <alignment horizontal="right" vertical="center"/>
    </xf>
    <xf numFmtId="197" fontId="9" fillId="5" borderId="37" xfId="6" applyNumberFormat="1" applyFont="1" applyFill="1" applyBorder="1" applyAlignment="1">
      <alignment horizontal="right" vertical="center"/>
    </xf>
    <xf numFmtId="197" fontId="9" fillId="5" borderId="1" xfId="6" applyNumberFormat="1" applyFont="1" applyFill="1" applyBorder="1" applyAlignment="1">
      <alignment horizontal="right" vertical="center"/>
    </xf>
    <xf numFmtId="0" fontId="9" fillId="16" borderId="37" xfId="6" applyFont="1" applyFill="1" applyBorder="1" applyAlignment="1">
      <alignment horizontal="left" vertical="top" wrapText="1" shrinkToFit="1"/>
    </xf>
    <xf numFmtId="0" fontId="9" fillId="0" borderId="6" xfId="6" applyFont="1" applyBorder="1" applyAlignment="1">
      <alignment horizontal="center" vertical="top" wrapText="1"/>
    </xf>
    <xf numFmtId="0" fontId="9" fillId="0" borderId="3" xfId="6" applyFont="1" applyBorder="1" applyAlignment="1">
      <alignment horizontal="center" vertical="top" wrapText="1"/>
    </xf>
    <xf numFmtId="0" fontId="9" fillId="0" borderId="41" xfId="6" applyFont="1" applyBorder="1" applyAlignment="1">
      <alignment horizontal="center" vertical="top" wrapText="1"/>
    </xf>
    <xf numFmtId="0" fontId="64" fillId="16" borderId="2" xfId="6" applyFont="1" applyFill="1" applyBorder="1" applyAlignment="1">
      <alignment vertical="top" wrapText="1"/>
    </xf>
    <xf numFmtId="0" fontId="64" fillId="16" borderId="8" xfId="6" applyFont="1" applyFill="1" applyBorder="1" applyAlignment="1">
      <alignment vertical="top" wrapText="1"/>
    </xf>
    <xf numFmtId="0" fontId="64" fillId="16" borderId="9" xfId="6" applyFont="1" applyFill="1" applyBorder="1" applyAlignment="1">
      <alignment vertical="top" wrapText="1"/>
    </xf>
    <xf numFmtId="0" fontId="9" fillId="0" borderId="6" xfId="6" applyFont="1" applyBorder="1" applyAlignment="1">
      <alignment vertical="top" wrapText="1"/>
    </xf>
    <xf numFmtId="0" fontId="9" fillId="0" borderId="3" xfId="6" applyFont="1" applyBorder="1" applyAlignment="1">
      <alignment vertical="top" wrapText="1"/>
    </xf>
    <xf numFmtId="0" fontId="9" fillId="0" borderId="41" xfId="6" applyFont="1" applyBorder="1" applyAlignment="1">
      <alignment vertical="top" wrapText="1"/>
    </xf>
    <xf numFmtId="0" fontId="9" fillId="5" borderId="1" xfId="6" applyFont="1" applyFill="1" applyBorder="1" applyAlignment="1">
      <alignment horizontal="left" vertical="center"/>
    </xf>
    <xf numFmtId="0" fontId="37" fillId="16" borderId="1" xfId="6" applyFont="1" applyFill="1" applyBorder="1" applyAlignment="1">
      <alignment horizontal="left" vertical="center"/>
    </xf>
    <xf numFmtId="0" fontId="9" fillId="16" borderId="2" xfId="6" applyFont="1" applyFill="1" applyBorder="1" applyAlignment="1">
      <alignment horizontal="left" vertical="top" wrapText="1"/>
    </xf>
    <xf numFmtId="0" fontId="9" fillId="16" borderId="8" xfId="6" applyFont="1" applyFill="1" applyBorder="1" applyAlignment="1">
      <alignment horizontal="left" vertical="top" wrapText="1"/>
    </xf>
    <xf numFmtId="0" fontId="9" fillId="16" borderId="9" xfId="6" applyFont="1" applyFill="1" applyBorder="1" applyAlignment="1">
      <alignment horizontal="left" vertical="top" wrapText="1"/>
    </xf>
    <xf numFmtId="0" fontId="9" fillId="0" borderId="103" xfId="6" applyFont="1" applyBorder="1" applyAlignment="1">
      <alignment horizontal="left" vertical="center" wrapText="1" shrinkToFit="1"/>
    </xf>
    <xf numFmtId="0" fontId="9" fillId="0" borderId="103" xfId="6" applyFont="1" applyBorder="1" applyAlignment="1">
      <alignment horizontal="left" vertical="center"/>
    </xf>
    <xf numFmtId="0" fontId="9" fillId="0" borderId="1" xfId="6" applyFont="1" applyBorder="1" applyAlignment="1">
      <alignment horizontal="left" vertical="top" wrapText="1" shrinkToFit="1"/>
    </xf>
    <xf numFmtId="0" fontId="9" fillId="0" borderId="37" xfId="6" applyFont="1" applyBorder="1" applyAlignment="1">
      <alignment horizontal="left" vertical="top" wrapText="1" shrinkToFit="1"/>
    </xf>
    <xf numFmtId="198" fontId="9" fillId="5" borderId="1" xfId="6" applyNumberFormat="1" applyFont="1" applyFill="1" applyBorder="1" applyAlignment="1">
      <alignment horizontal="right" vertical="center"/>
    </xf>
    <xf numFmtId="198" fontId="37" fillId="16" borderId="37" xfId="6" applyNumberFormat="1" applyFont="1" applyFill="1" applyBorder="1" applyAlignment="1">
      <alignment horizontal="right" vertical="center"/>
    </xf>
    <xf numFmtId="198" fontId="9" fillId="5" borderId="37" xfId="6" applyNumberFormat="1" applyFont="1" applyFill="1" applyBorder="1" applyAlignment="1">
      <alignment horizontal="right" vertical="center"/>
    </xf>
    <xf numFmtId="0" fontId="9" fillId="16" borderId="37" xfId="6" applyFont="1" applyFill="1" applyBorder="1" applyAlignment="1">
      <alignment horizontal="left" vertical="top" wrapText="1"/>
    </xf>
    <xf numFmtId="0" fontId="9" fillId="16" borderId="37" xfId="6" applyFont="1" applyFill="1" applyBorder="1" applyAlignment="1">
      <alignment horizontal="left" vertical="top"/>
    </xf>
    <xf numFmtId="0" fontId="64" fillId="16" borderId="7" xfId="6" applyFont="1" applyFill="1" applyBorder="1" applyAlignment="1">
      <alignment vertical="top" wrapText="1"/>
    </xf>
    <xf numFmtId="0" fontId="64" fillId="16" borderId="0" xfId="6" applyFont="1" applyFill="1" applyAlignment="1">
      <alignment vertical="top" wrapText="1"/>
    </xf>
    <xf numFmtId="0" fontId="64" fillId="16" borderId="5" xfId="6" applyFont="1" applyFill="1" applyBorder="1" applyAlignment="1">
      <alignment vertical="top" wrapText="1"/>
    </xf>
    <xf numFmtId="0" fontId="47" fillId="16" borderId="37" xfId="0" applyFont="1" applyFill="1" applyBorder="1" applyAlignment="1">
      <alignment horizontal="left" vertical="top" wrapText="1"/>
    </xf>
    <xf numFmtId="0" fontId="47" fillId="16" borderId="38" xfId="0" applyFont="1" applyFill="1" applyBorder="1" applyAlignment="1">
      <alignment horizontal="center" vertical="top" wrapText="1"/>
    </xf>
    <xf numFmtId="0" fontId="47" fillId="16" borderId="39" xfId="0" applyFont="1" applyFill="1" applyBorder="1" applyAlignment="1">
      <alignment horizontal="center" vertical="top" wrapText="1"/>
    </xf>
    <xf numFmtId="0" fontId="47" fillId="16" borderId="40" xfId="0" applyFont="1" applyFill="1" applyBorder="1" applyAlignment="1">
      <alignment horizontal="center" vertical="top" wrapText="1"/>
    </xf>
    <xf numFmtId="0" fontId="9" fillId="5" borderId="8" xfId="0" applyFont="1" applyFill="1" applyBorder="1" applyAlignment="1">
      <alignment horizontal="center" vertical="center" shrinkToFit="1"/>
    </xf>
    <xf numFmtId="0" fontId="19" fillId="0" borderId="0" xfId="0" applyFont="1" applyAlignment="1">
      <alignment horizontal="center" vertical="center"/>
    </xf>
    <xf numFmtId="0" fontId="65" fillId="0" borderId="37" xfId="0" applyFont="1" applyBorder="1" applyAlignment="1">
      <alignment horizontal="center" vertical="top" wrapText="1"/>
    </xf>
    <xf numFmtId="0" fontId="65" fillId="0" borderId="37" xfId="0" applyFont="1" applyBorder="1" applyAlignment="1">
      <alignment horizontal="left" vertical="top" wrapText="1"/>
    </xf>
    <xf numFmtId="0" fontId="9" fillId="0" borderId="0" xfId="0" applyFont="1" applyAlignment="1">
      <alignment horizontal="left" vertical="center"/>
    </xf>
    <xf numFmtId="0" fontId="9" fillId="0" borderId="37" xfId="0" applyFont="1" applyBorder="1" applyAlignment="1">
      <alignment horizontal="center" vertical="top"/>
    </xf>
    <xf numFmtId="0" fontId="9" fillId="16" borderId="6" xfId="0" applyFont="1" applyFill="1" applyBorder="1" applyAlignment="1">
      <alignment horizontal="left" vertical="top"/>
    </xf>
    <xf numFmtId="0" fontId="9" fillId="16" borderId="3" xfId="0" applyFont="1" applyFill="1" applyBorder="1" applyAlignment="1">
      <alignment horizontal="left" vertical="top"/>
    </xf>
    <xf numFmtId="0" fontId="9" fillId="16" borderId="41" xfId="0" applyFont="1" applyFill="1" applyBorder="1" applyAlignment="1">
      <alignment horizontal="left" vertical="top"/>
    </xf>
    <xf numFmtId="0" fontId="9" fillId="16" borderId="2" xfId="0" applyFont="1" applyFill="1" applyBorder="1" applyAlignment="1">
      <alignment horizontal="left" vertical="top"/>
    </xf>
    <xf numFmtId="0" fontId="9" fillId="16" borderId="8" xfId="0" applyFont="1" applyFill="1" applyBorder="1" applyAlignment="1">
      <alignment horizontal="left" vertical="top"/>
    </xf>
    <xf numFmtId="0" fontId="9" fillId="16" borderId="9" xfId="0" applyFont="1" applyFill="1" applyBorder="1" applyAlignment="1">
      <alignment horizontal="left" vertical="top"/>
    </xf>
    <xf numFmtId="0" fontId="9" fillId="16" borderId="38" xfId="0" applyFont="1" applyFill="1" applyBorder="1" applyAlignment="1">
      <alignment horizontal="left" vertical="center"/>
    </xf>
    <xf numFmtId="0" fontId="9" fillId="16" borderId="39" xfId="0" applyFont="1" applyFill="1" applyBorder="1" applyAlignment="1">
      <alignment horizontal="left" vertical="center"/>
    </xf>
    <xf numFmtId="0" fontId="9" fillId="16" borderId="118" xfId="0" applyFont="1" applyFill="1" applyBorder="1" applyAlignment="1">
      <alignment horizontal="left" vertical="center"/>
    </xf>
    <xf numFmtId="0" fontId="9" fillId="16" borderId="119" xfId="0" applyFont="1" applyFill="1" applyBorder="1" applyAlignment="1">
      <alignment horizontal="left" vertical="center"/>
    </xf>
    <xf numFmtId="206" fontId="9" fillId="16" borderId="145" xfId="0" applyNumberFormat="1" applyFont="1" applyFill="1" applyBorder="1" applyAlignment="1">
      <alignment horizontal="right" vertical="center"/>
    </xf>
    <xf numFmtId="206" fontId="9" fillId="16" borderId="113" xfId="0" applyNumberFormat="1" applyFont="1" applyFill="1" applyBorder="1" applyAlignment="1">
      <alignment horizontal="right" vertical="center"/>
    </xf>
    <xf numFmtId="206" fontId="9" fillId="16" borderId="114" xfId="0" applyNumberFormat="1" applyFont="1" applyFill="1" applyBorder="1" applyAlignment="1">
      <alignment horizontal="right" vertical="center"/>
    </xf>
    <xf numFmtId="0" fontId="9" fillId="16" borderId="120" xfId="0" applyFont="1" applyFill="1" applyBorder="1" applyAlignment="1">
      <alignment horizontal="left" vertical="center"/>
    </xf>
    <xf numFmtId="0" fontId="9" fillId="16" borderId="121" xfId="0" applyFont="1" applyFill="1" applyBorder="1" applyAlignment="1">
      <alignment horizontal="left" vertical="center"/>
    </xf>
    <xf numFmtId="206" fontId="9" fillId="16" borderId="146" xfId="0" applyNumberFormat="1" applyFont="1" applyFill="1" applyBorder="1" applyAlignment="1">
      <alignment horizontal="right" vertical="center"/>
    </xf>
    <xf numFmtId="206" fontId="9" fillId="16" borderId="147" xfId="0" applyNumberFormat="1" applyFont="1" applyFill="1" applyBorder="1" applyAlignment="1">
      <alignment horizontal="right" vertical="center"/>
    </xf>
    <xf numFmtId="206" fontId="9" fillId="16" borderId="148" xfId="0" applyNumberFormat="1" applyFont="1" applyFill="1" applyBorder="1" applyAlignment="1">
      <alignment horizontal="right" vertical="center"/>
    </xf>
    <xf numFmtId="0" fontId="9" fillId="0" borderId="122" xfId="0" applyFont="1" applyBorder="1" applyAlignment="1">
      <alignment horizontal="right" vertical="center"/>
    </xf>
    <xf numFmtId="0" fontId="9" fillId="0" borderId="123" xfId="0" applyFont="1" applyBorder="1" applyAlignment="1">
      <alignment horizontal="right" vertical="center"/>
    </xf>
    <xf numFmtId="205" fontId="9" fillId="5" borderId="123" xfId="0" applyNumberFormat="1" applyFont="1" applyFill="1" applyBorder="1" applyAlignment="1">
      <alignment horizontal="right" vertical="center"/>
    </xf>
    <xf numFmtId="205" fontId="9" fillId="5" borderId="124" xfId="0" applyNumberFormat="1" applyFont="1" applyFill="1" applyBorder="1" applyAlignment="1">
      <alignment horizontal="right" vertical="center"/>
    </xf>
    <xf numFmtId="0" fontId="9" fillId="16" borderId="112" xfId="0" applyFont="1" applyFill="1" applyBorder="1" applyAlignment="1">
      <alignment horizontal="left" vertical="center"/>
    </xf>
    <xf numFmtId="0" fontId="9" fillId="16" borderId="113" xfId="0" applyFont="1" applyFill="1" applyBorder="1" applyAlignment="1">
      <alignment horizontal="left" vertical="center"/>
    </xf>
    <xf numFmtId="0" fontId="9" fillId="16" borderId="114" xfId="0" applyFont="1" applyFill="1" applyBorder="1" applyAlignment="1">
      <alignment horizontal="left" vertical="center"/>
    </xf>
    <xf numFmtId="0" fontId="9" fillId="16" borderId="115" xfId="0" applyFont="1" applyFill="1" applyBorder="1" applyAlignment="1">
      <alignment horizontal="left" vertical="center"/>
    </xf>
    <xf numFmtId="0" fontId="9" fillId="16" borderId="116" xfId="0" applyFont="1" applyFill="1" applyBorder="1" applyAlignment="1">
      <alignment horizontal="left" vertical="center"/>
    </xf>
    <xf numFmtId="0" fontId="9" fillId="16" borderId="117" xfId="0" applyFont="1" applyFill="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35" xfId="6" applyFont="1" applyFill="1" applyBorder="1" applyAlignment="1">
      <alignment horizontal="center" vertical="center" wrapText="1"/>
    </xf>
    <xf numFmtId="0" fontId="5" fillId="2" borderId="35" xfId="6" applyFont="1" applyFill="1" applyBorder="1" applyAlignment="1">
      <alignment horizontal="center" vertical="center"/>
    </xf>
    <xf numFmtId="0" fontId="5" fillId="2" borderId="153" xfId="6" applyFont="1" applyFill="1" applyBorder="1" applyAlignment="1">
      <alignment horizontal="center" vertical="center" wrapText="1"/>
    </xf>
    <xf numFmtId="0" fontId="5" fillId="2" borderId="154" xfId="6" applyFont="1" applyFill="1" applyBorder="1" applyAlignment="1">
      <alignment horizontal="center" vertical="center" wrapText="1"/>
    </xf>
    <xf numFmtId="0" fontId="5" fillId="2" borderId="155"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89" xfId="6" applyFont="1" applyFill="1" applyBorder="1" applyAlignment="1">
      <alignment horizontal="center" vertical="center" wrapText="1"/>
    </xf>
    <xf numFmtId="0" fontId="5" fillId="2" borderId="156" xfId="6" applyFont="1" applyFill="1" applyBorder="1" applyAlignment="1">
      <alignment horizontal="center" vertical="center" wrapText="1"/>
    </xf>
    <xf numFmtId="0" fontId="6" fillId="0" borderId="0" xfId="6" applyFont="1">
      <alignment vertical="center"/>
    </xf>
    <xf numFmtId="0" fontId="6" fillId="0" borderId="155" xfId="6" applyFont="1" applyBorder="1" applyAlignment="1">
      <alignment vertical="center" wrapText="1"/>
    </xf>
    <xf numFmtId="0" fontId="6" fillId="0" borderId="0" xfId="6" applyFont="1" applyAlignment="1">
      <alignment vertical="center" wrapText="1"/>
    </xf>
    <xf numFmtId="208" fontId="6" fillId="0" borderId="0" xfId="6" applyNumberFormat="1" applyFont="1" applyAlignment="1">
      <alignment horizontal="center" vertical="center" wrapText="1"/>
    </xf>
    <xf numFmtId="214" fontId="6" fillId="0" borderId="0" xfId="6" applyNumberFormat="1" applyFont="1" applyAlignment="1">
      <alignment horizontal="center" vertical="center" wrapText="1"/>
    </xf>
    <xf numFmtId="215" fontId="6" fillId="0" borderId="0" xfId="6" applyNumberFormat="1" applyFont="1" applyAlignment="1">
      <alignment horizontal="center" vertical="center" shrinkToFit="1"/>
    </xf>
    <xf numFmtId="215"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42" fillId="0" borderId="7" xfId="17" applyFont="1" applyBorder="1">
      <alignment vertical="center"/>
    </xf>
    <xf numFmtId="0" fontId="142" fillId="0" borderId="0" xfId="17" applyFont="1">
      <alignment vertical="center"/>
    </xf>
    <xf numFmtId="0" fontId="142" fillId="0" borderId="5" xfId="17" applyFont="1" applyBorder="1">
      <alignment vertical="center"/>
    </xf>
    <xf numFmtId="0" fontId="142" fillId="19" borderId="8" xfId="6" applyFont="1" applyFill="1" applyBorder="1" applyAlignment="1">
      <alignment horizontal="center" vertical="center"/>
    </xf>
    <xf numFmtId="0" fontId="143" fillId="20" borderId="158" xfId="5" applyFont="1" applyFill="1" applyBorder="1" applyAlignment="1">
      <alignment horizontal="center" vertical="center"/>
    </xf>
    <xf numFmtId="0" fontId="143" fillId="20" borderId="159" xfId="5" applyFont="1" applyFill="1" applyBorder="1" applyAlignment="1">
      <alignment horizontal="center" vertical="center"/>
    </xf>
    <xf numFmtId="0" fontId="143" fillId="20" borderId="160" xfId="5" applyFont="1" applyFill="1" applyBorder="1" applyAlignment="1">
      <alignment horizontal="center" vertical="center"/>
    </xf>
    <xf numFmtId="0" fontId="144" fillId="20" borderId="161" xfId="6" applyFont="1" applyFill="1" applyBorder="1" applyAlignment="1">
      <alignment vertical="center" wrapText="1"/>
    </xf>
    <xf numFmtId="0" fontId="144" fillId="20" borderId="165" xfId="6" applyFont="1" applyFill="1" applyBorder="1" applyAlignment="1">
      <alignment vertical="center" wrapText="1"/>
    </xf>
    <xf numFmtId="0" fontId="142" fillId="0" borderId="5" xfId="6" applyFont="1" applyBorder="1" applyAlignment="1">
      <alignment vertical="center" wrapText="1"/>
    </xf>
    <xf numFmtId="0" fontId="143" fillId="5" borderId="163" xfId="5" applyFont="1" applyFill="1" applyBorder="1" applyAlignment="1">
      <alignment horizontal="center" vertical="center"/>
    </xf>
    <xf numFmtId="0" fontId="143" fillId="5" borderId="164" xfId="5" applyFont="1" applyFill="1" applyBorder="1" applyAlignment="1">
      <alignment horizontal="center" vertical="center"/>
    </xf>
    <xf numFmtId="0" fontId="142" fillId="0" borderId="7" xfId="17" applyFont="1" applyBorder="1" applyAlignment="1">
      <alignment horizontal="left" vertical="center" indent="1"/>
    </xf>
    <xf numFmtId="0" fontId="142" fillId="0" borderId="0" xfId="17" applyFont="1" applyAlignment="1">
      <alignment horizontal="left" vertical="center" indent="1"/>
    </xf>
    <xf numFmtId="0" fontId="142" fillId="0" borderId="5" xfId="17" applyFont="1" applyBorder="1" applyAlignment="1">
      <alignment horizontal="left" vertical="center" indent="1"/>
    </xf>
    <xf numFmtId="0" fontId="147" fillId="0" borderId="7" xfId="17" applyFont="1" applyBorder="1" applyAlignment="1">
      <alignment horizontal="left" vertical="center" indent="2"/>
    </xf>
    <xf numFmtId="0" fontId="147" fillId="0" borderId="0" xfId="17" applyFont="1" applyAlignment="1">
      <alignment horizontal="left" vertical="center" indent="2"/>
    </xf>
    <xf numFmtId="0" fontId="147" fillId="0" borderId="5" xfId="17" applyFont="1" applyBorder="1" applyAlignment="1">
      <alignment horizontal="left" vertical="center" indent="2"/>
    </xf>
    <xf numFmtId="0" fontId="147" fillId="0" borderId="7" xfId="17" applyFont="1" applyBorder="1">
      <alignment vertical="center"/>
    </xf>
    <xf numFmtId="0" fontId="147" fillId="0" borderId="0" xfId="17" applyFont="1">
      <alignment vertical="center"/>
    </xf>
    <xf numFmtId="0" fontId="147" fillId="0" borderId="5" xfId="17" applyFont="1" applyBorder="1">
      <alignment vertical="center"/>
    </xf>
    <xf numFmtId="0" fontId="38" fillId="0" borderId="3" xfId="0" applyFont="1" applyBorder="1" applyAlignment="1">
      <alignment horizontal="left" vertical="center" wrapText="1"/>
    </xf>
    <xf numFmtId="0" fontId="9" fillId="5" borderId="0" xfId="0" applyFont="1" applyFill="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16" borderId="38" xfId="0" applyFont="1" applyFill="1" applyBorder="1" applyAlignment="1">
      <alignment horizontal="center" vertical="center"/>
    </xf>
    <xf numFmtId="0" fontId="9" fillId="16" borderId="39" xfId="0" applyFont="1" applyFill="1" applyBorder="1" applyAlignment="1">
      <alignment horizontal="center" vertical="center"/>
    </xf>
    <xf numFmtId="0" fontId="9" fillId="16" borderId="40" xfId="0" applyFont="1" applyFill="1" applyBorder="1" applyAlignment="1">
      <alignment horizontal="center" vertical="center"/>
    </xf>
    <xf numFmtId="0" fontId="9" fillId="0" borderId="0" xfId="0" applyFont="1" applyAlignment="1">
      <alignment horizontal="right" vertical="center"/>
    </xf>
    <xf numFmtId="0" fontId="10" fillId="0" borderId="4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75" fillId="0" borderId="38" xfId="0" applyFont="1" applyBorder="1" applyAlignment="1">
      <alignment horizontal="left" vertical="center"/>
    </xf>
    <xf numFmtId="0" fontId="75" fillId="0" borderId="39" xfId="0" applyFont="1" applyBorder="1" applyAlignment="1">
      <alignment horizontal="left" vertical="center"/>
    </xf>
    <xf numFmtId="0" fontId="4" fillId="0" borderId="1" xfId="0" applyFont="1" applyBorder="1" applyAlignment="1">
      <alignment vertical="center" wrapText="1"/>
    </xf>
    <xf numFmtId="0" fontId="4" fillId="0" borderId="37" xfId="0" applyFont="1" applyBorder="1" applyAlignment="1">
      <alignment vertical="center" wrapText="1"/>
    </xf>
    <xf numFmtId="0" fontId="4" fillId="15" borderId="1" xfId="0" applyFont="1" applyFill="1" applyBorder="1" applyAlignment="1">
      <alignment vertical="center" wrapText="1"/>
    </xf>
    <xf numFmtId="0" fontId="4" fillId="15" borderId="37" xfId="0" applyFont="1" applyFill="1" applyBorder="1" applyAlignment="1">
      <alignment vertical="center" wrapText="1"/>
    </xf>
    <xf numFmtId="0" fontId="4" fillId="15" borderId="0" xfId="0" applyFont="1" applyFill="1" applyAlignment="1">
      <alignment vertical="center" wrapText="1"/>
    </xf>
    <xf numFmtId="0" fontId="76" fillId="3" borderId="41" xfId="0" applyFont="1" applyFill="1" applyBorder="1" applyAlignment="1">
      <alignment vertical="center" wrapText="1"/>
    </xf>
    <xf numFmtId="0" fontId="76" fillId="3" borderId="5" xfId="0" applyFont="1" applyFill="1" applyBorder="1" applyAlignment="1">
      <alignment vertical="center" wrapText="1"/>
    </xf>
    <xf numFmtId="0" fontId="76" fillId="3" borderId="9" xfId="0" applyFont="1" applyFill="1" applyBorder="1" applyAlignment="1">
      <alignment vertical="center" wrapText="1"/>
    </xf>
    <xf numFmtId="0" fontId="4" fillId="15" borderId="42" xfId="0" applyFont="1" applyFill="1" applyBorder="1" applyAlignment="1">
      <alignment vertical="center" wrapText="1"/>
    </xf>
    <xf numFmtId="0" fontId="4" fillId="15" borderId="4" xfId="0" applyFont="1" applyFill="1" applyBorder="1" applyAlignment="1">
      <alignment vertical="center" wrapText="1"/>
    </xf>
    <xf numFmtId="0" fontId="75" fillId="0" borderId="38" xfId="0" applyFont="1" applyBorder="1" applyAlignment="1">
      <alignment vertical="center" wrapText="1"/>
    </xf>
    <xf numFmtId="0" fontId="75" fillId="0" borderId="39" xfId="0" applyFont="1" applyBorder="1" applyAlignment="1">
      <alignment vertical="center" wrapText="1"/>
    </xf>
    <xf numFmtId="0" fontId="0" fillId="0" borderId="39" xfId="0" applyBorder="1" applyAlignment="1">
      <alignment vertical="center" wrapText="1"/>
    </xf>
    <xf numFmtId="0" fontId="69" fillId="0" borderId="39" xfId="0" applyFont="1" applyBorder="1" applyAlignment="1">
      <alignment horizontal="left" vertical="center"/>
    </xf>
    <xf numFmtId="0" fontId="75" fillId="0" borderId="6" xfId="0" applyFont="1" applyBorder="1" applyAlignment="1">
      <alignment horizontal="left" vertical="center" wrapText="1"/>
    </xf>
    <xf numFmtId="0" fontId="75" fillId="0" borderId="3" xfId="0" applyFont="1" applyBorder="1" applyAlignment="1">
      <alignment horizontal="left" vertical="center" wrapText="1"/>
    </xf>
    <xf numFmtId="0" fontId="75" fillId="0" borderId="41" xfId="0" applyFont="1" applyBorder="1" applyAlignment="1">
      <alignment horizontal="left" vertical="center" wrapText="1"/>
    </xf>
    <xf numFmtId="0" fontId="4" fillId="15" borderId="37" xfId="0" applyFont="1" applyFill="1" applyBorder="1" applyAlignment="1">
      <alignment horizontal="center" vertical="top" wrapText="1"/>
    </xf>
    <xf numFmtId="0" fontId="4" fillId="15" borderId="42" xfId="0" applyFont="1" applyFill="1" applyBorder="1" applyAlignment="1">
      <alignment horizontal="center" vertical="top" wrapText="1"/>
    </xf>
    <xf numFmtId="0" fontId="4" fillId="15" borderId="4" xfId="0" applyFont="1" applyFill="1" applyBorder="1" applyAlignment="1">
      <alignment horizontal="center" vertical="top" wrapText="1"/>
    </xf>
    <xf numFmtId="0" fontId="4" fillId="15" borderId="1" xfId="0" applyFont="1" applyFill="1" applyBorder="1" applyAlignment="1">
      <alignment horizontal="center" vertical="top" wrapText="1"/>
    </xf>
    <xf numFmtId="0" fontId="4" fillId="3" borderId="1" xfId="0" applyFont="1" applyFill="1" applyBorder="1" applyAlignment="1">
      <alignment vertical="center" wrapText="1"/>
    </xf>
    <xf numFmtId="0" fontId="4" fillId="3" borderId="37" xfId="0" applyFont="1" applyFill="1" applyBorder="1" applyAlignment="1">
      <alignment vertical="center" wrapText="1"/>
    </xf>
    <xf numFmtId="0" fontId="4" fillId="13" borderId="38" xfId="0" applyFont="1" applyFill="1" applyBorder="1" applyAlignment="1">
      <alignment vertical="center" wrapText="1"/>
    </xf>
    <xf numFmtId="0" fontId="4" fillId="13" borderId="1" xfId="0" applyFont="1" applyFill="1" applyBorder="1" applyAlignment="1">
      <alignment vertical="center" wrapText="1"/>
    </xf>
    <xf numFmtId="0" fontId="4" fillId="14" borderId="37" xfId="0" applyFont="1" applyFill="1" applyBorder="1" applyAlignment="1">
      <alignment vertical="center" wrapText="1"/>
    </xf>
    <xf numFmtId="0" fontId="4" fillId="13" borderId="42" xfId="0" applyFont="1" applyFill="1" applyBorder="1" applyAlignment="1">
      <alignment vertical="center" wrapText="1"/>
    </xf>
    <xf numFmtId="0" fontId="79" fillId="14" borderId="2" xfId="0" applyFont="1" applyFill="1" applyBorder="1" applyAlignment="1">
      <alignment vertical="center" wrapText="1"/>
    </xf>
    <xf numFmtId="0" fontId="79" fillId="14" borderId="38" xfId="0" applyFont="1" applyFill="1" applyBorder="1" applyAlignment="1">
      <alignment vertical="center" wrapText="1"/>
    </xf>
    <xf numFmtId="0" fontId="79" fillId="14" borderId="37" xfId="0" applyFont="1" applyFill="1" applyBorder="1" applyAlignment="1">
      <alignment vertical="center" wrapText="1"/>
    </xf>
    <xf numFmtId="0" fontId="79" fillId="14" borderId="42" xfId="0" applyFont="1" applyFill="1" applyBorder="1" applyAlignment="1">
      <alignment vertical="center" wrapText="1"/>
    </xf>
    <xf numFmtId="0" fontId="4" fillId="13" borderId="4" xfId="0" applyFont="1" applyFill="1" applyBorder="1" applyAlignment="1">
      <alignment vertical="center" wrapText="1"/>
    </xf>
    <xf numFmtId="0" fontId="4" fillId="0" borderId="4" xfId="0" applyFont="1" applyBorder="1" applyAlignment="1">
      <alignment vertical="center" wrapText="1"/>
    </xf>
    <xf numFmtId="0" fontId="53" fillId="15" borderId="42" xfId="0" applyFont="1" applyFill="1" applyBorder="1" applyAlignment="1">
      <alignment vertical="center" wrapText="1"/>
    </xf>
    <xf numFmtId="0" fontId="53" fillId="15" borderId="4" xfId="0" applyFont="1" applyFill="1" applyBorder="1" applyAlignment="1">
      <alignment vertical="center" wrapText="1"/>
    </xf>
    <xf numFmtId="0" fontId="53" fillId="15" borderId="1"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0" fillId="15" borderId="4" xfId="0" applyFill="1" applyBorder="1" applyAlignment="1">
      <alignment vertical="center" wrapText="1"/>
    </xf>
    <xf numFmtId="0" fontId="0" fillId="15" borderId="1" xfId="0" applyFill="1" applyBorder="1" applyAlignment="1">
      <alignment vertical="center" wrapText="1"/>
    </xf>
    <xf numFmtId="0" fontId="4" fillId="15" borderId="6" xfId="0" applyFont="1" applyFill="1" applyBorder="1" applyAlignment="1">
      <alignment horizontal="center" vertical="center" wrapText="1"/>
    </xf>
    <xf numFmtId="0" fontId="0" fillId="15" borderId="7" xfId="0" applyFill="1" applyBorder="1" applyAlignment="1">
      <alignment vertical="center" wrapText="1"/>
    </xf>
    <xf numFmtId="0" fontId="0" fillId="15" borderId="2" xfId="0" applyFill="1" applyBorder="1" applyAlignment="1">
      <alignment vertical="center" wrapText="1"/>
    </xf>
    <xf numFmtId="0" fontId="80" fillId="0" borderId="6" xfId="0" applyFont="1" applyBorder="1" applyAlignment="1">
      <alignment horizontal="left" vertical="center"/>
    </xf>
    <xf numFmtId="0" fontId="16" fillId="0" borderId="3" xfId="0" applyFont="1" applyBorder="1" applyAlignment="1">
      <alignment vertical="center"/>
    </xf>
    <xf numFmtId="0" fontId="16" fillId="0" borderId="2" xfId="0" applyFont="1" applyBorder="1" applyAlignment="1">
      <alignment vertical="center"/>
    </xf>
    <xf numFmtId="0" fontId="16" fillId="0" borderId="8" xfId="0" applyFont="1" applyBorder="1" applyAlignment="1">
      <alignment vertical="center"/>
    </xf>
    <xf numFmtId="0" fontId="16" fillId="0" borderId="0" xfId="0" applyFont="1" applyAlignment="1">
      <alignment vertical="center"/>
    </xf>
    <xf numFmtId="0" fontId="0" fillId="0" borderId="5" xfId="0" applyBorder="1" applyAlignment="1">
      <alignment vertical="center"/>
    </xf>
    <xf numFmtId="0" fontId="0" fillId="0" borderId="9" xfId="0" applyBorder="1" applyAlignment="1">
      <alignment vertical="center"/>
    </xf>
    <xf numFmtId="0" fontId="4" fillId="15" borderId="6" xfId="0" applyFont="1" applyFill="1" applyBorder="1" applyAlignment="1">
      <alignment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0" borderId="41" xfId="0" applyBorder="1" applyAlignment="1">
      <alignment horizontal="center" vertical="center" wrapText="1"/>
    </xf>
    <xf numFmtId="0" fontId="0" fillId="3" borderId="2" xfId="0" applyFill="1" applyBorder="1" applyAlignment="1">
      <alignment horizontal="center" vertical="center" wrapText="1"/>
    </xf>
    <xf numFmtId="0" fontId="0" fillId="3" borderId="8" xfId="0" applyFill="1" applyBorder="1" applyAlignment="1">
      <alignment horizontal="center" vertical="center" wrapText="1"/>
    </xf>
    <xf numFmtId="0" fontId="0" fillId="0" borderId="9" xfId="0" applyBorder="1" applyAlignment="1">
      <alignment horizontal="center" vertical="center" wrapText="1"/>
    </xf>
    <xf numFmtId="0" fontId="80" fillId="0" borderId="3" xfId="0" applyFont="1" applyBorder="1" applyAlignment="1">
      <alignment horizontal="left" vertical="center"/>
    </xf>
    <xf numFmtId="0" fontId="80" fillId="0" borderId="2" xfId="0" applyFont="1" applyBorder="1" applyAlignment="1">
      <alignment horizontal="left" vertical="center"/>
    </xf>
    <xf numFmtId="0" fontId="80" fillId="0" borderId="8" xfId="0" applyFont="1" applyBorder="1" applyAlignment="1">
      <alignment horizontal="left" vertical="center"/>
    </xf>
    <xf numFmtId="0" fontId="4" fillId="3" borderId="42" xfId="0" applyFont="1" applyFill="1" applyBorder="1" applyAlignment="1">
      <alignment vertical="center" wrapText="1"/>
    </xf>
    <xf numFmtId="0" fontId="0" fillId="3" borderId="4" xfId="0" applyFill="1" applyBorder="1" applyAlignment="1">
      <alignment vertical="center" wrapText="1"/>
    </xf>
    <xf numFmtId="0" fontId="0" fillId="3" borderId="1" xfId="0" applyFill="1" applyBorder="1" applyAlignment="1">
      <alignment vertical="center" wrapText="1"/>
    </xf>
    <xf numFmtId="0" fontId="0" fillId="15" borderId="42"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4" fillId="13" borderId="6" xfId="0" applyFont="1" applyFill="1" applyBorder="1" applyAlignment="1">
      <alignment vertical="center" wrapText="1"/>
    </xf>
    <xf numFmtId="0" fontId="4" fillId="0" borderId="42" xfId="0" applyFont="1" applyBorder="1" applyAlignment="1">
      <alignment vertical="center" wrapText="1"/>
    </xf>
    <xf numFmtId="0" fontId="4" fillId="15" borderId="7" xfId="0" applyFont="1" applyFill="1" applyBorder="1" applyAlignment="1">
      <alignment vertical="center" wrapText="1"/>
    </xf>
    <xf numFmtId="0" fontId="4" fillId="15" borderId="2" xfId="0" applyFont="1" applyFill="1" applyBorder="1" applyAlignment="1">
      <alignment vertical="center" wrapText="1"/>
    </xf>
    <xf numFmtId="0" fontId="4" fillId="15" borderId="6" xfId="0" applyFont="1" applyFill="1" applyBorder="1" applyAlignment="1">
      <alignment horizontal="left" vertical="center" wrapText="1"/>
    </xf>
    <xf numFmtId="0" fontId="4" fillId="3" borderId="38" xfId="0" applyFont="1" applyFill="1" applyBorder="1" applyAlignment="1">
      <alignment horizontal="left" vertical="center"/>
    </xf>
    <xf numFmtId="0" fontId="0" fillId="3" borderId="39" xfId="0" applyFill="1" applyBorder="1" applyAlignment="1">
      <alignment horizontal="left" vertical="center"/>
    </xf>
    <xf numFmtId="0" fontId="0" fillId="3" borderId="40" xfId="0" applyFill="1" applyBorder="1" applyAlignment="1">
      <alignment horizontal="left" vertical="center"/>
    </xf>
    <xf numFmtId="0" fontId="4" fillId="0" borderId="2" xfId="0" applyFont="1" applyBorder="1" applyAlignment="1">
      <alignment vertical="center" wrapText="1"/>
    </xf>
    <xf numFmtId="0" fontId="4" fillId="0" borderId="38" xfId="0" applyFont="1" applyBorder="1" applyAlignment="1">
      <alignment vertical="center" wrapText="1"/>
    </xf>
    <xf numFmtId="0" fontId="4" fillId="13" borderId="7" xfId="0" applyFont="1" applyFill="1" applyBorder="1" applyAlignment="1">
      <alignment vertical="center" wrapText="1"/>
    </xf>
    <xf numFmtId="0" fontId="4" fillId="3" borderId="42" xfId="0" applyFont="1" applyFill="1" applyBorder="1" applyAlignment="1">
      <alignment horizontal="left" vertical="center" wrapText="1"/>
    </xf>
    <xf numFmtId="0" fontId="4" fillId="13" borderId="42"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13" borderId="39" xfId="0" applyFont="1" applyFill="1" applyBorder="1" applyAlignment="1">
      <alignment vertical="center" wrapText="1"/>
    </xf>
    <xf numFmtId="0" fontId="4" fillId="13" borderId="40" xfId="0" applyFont="1" applyFill="1" applyBorder="1" applyAlignment="1">
      <alignment vertical="center" wrapText="1"/>
    </xf>
    <xf numFmtId="0" fontId="79" fillId="0" borderId="38" xfId="0" applyFont="1" applyBorder="1" applyAlignment="1">
      <alignment vertical="center" wrapText="1"/>
    </xf>
    <xf numFmtId="0" fontId="79" fillId="0" borderId="39" xfId="0" applyFont="1" applyBorder="1" applyAlignment="1">
      <alignment vertical="center" wrapText="1"/>
    </xf>
    <xf numFmtId="0" fontId="79" fillId="0" borderId="40" xfId="0" applyFont="1" applyBorder="1" applyAlignment="1">
      <alignment vertical="center" wrapText="1"/>
    </xf>
    <xf numFmtId="0" fontId="79" fillId="0" borderId="38" xfId="0" applyFont="1" applyBorder="1" applyAlignment="1">
      <alignment horizontal="left" vertical="center" wrapText="1"/>
    </xf>
    <xf numFmtId="0" fontId="79" fillId="0" borderId="39" xfId="0" applyFont="1" applyBorder="1" applyAlignment="1">
      <alignment horizontal="left" vertical="center" wrapText="1"/>
    </xf>
    <xf numFmtId="0" fontId="79" fillId="0" borderId="40" xfId="0" applyFont="1" applyBorder="1" applyAlignment="1">
      <alignment horizontal="left" vertical="center" wrapText="1"/>
    </xf>
    <xf numFmtId="0" fontId="80" fillId="0" borderId="41" xfId="0" applyFont="1" applyBorder="1" applyAlignment="1">
      <alignment horizontal="left" vertical="center"/>
    </xf>
    <xf numFmtId="0" fontId="80" fillId="0" borderId="9" xfId="0" applyFont="1" applyBorder="1" applyAlignment="1">
      <alignment horizontal="left" vertical="center"/>
    </xf>
    <xf numFmtId="0" fontId="79" fillId="15" borderId="7" xfId="0" applyFont="1" applyFill="1" applyBorder="1" applyAlignment="1">
      <alignment horizontal="center" vertical="center" wrapText="1"/>
    </xf>
    <xf numFmtId="0" fontId="79" fillId="15" borderId="5" xfId="0" applyFont="1" applyFill="1" applyBorder="1" applyAlignment="1">
      <alignment horizontal="center" vertical="center" wrapText="1"/>
    </xf>
    <xf numFmtId="0" fontId="79" fillId="15" borderId="2" xfId="0" applyFont="1" applyFill="1" applyBorder="1" applyAlignment="1">
      <alignment horizontal="center" vertical="center" wrapText="1"/>
    </xf>
    <xf numFmtId="0" fontId="79" fillId="15" borderId="9" xfId="0" applyFont="1" applyFill="1" applyBorder="1" applyAlignment="1">
      <alignment horizontal="center" vertical="center" wrapText="1"/>
    </xf>
    <xf numFmtId="0" fontId="79" fillId="13" borderId="0" xfId="0" applyFont="1" applyFill="1" applyAlignment="1">
      <alignment vertical="center" wrapText="1"/>
    </xf>
    <xf numFmtId="0" fontId="79" fillId="13" borderId="8" xfId="0" applyFont="1" applyFill="1" applyBorder="1" applyAlignment="1">
      <alignment vertical="center" wrapText="1"/>
    </xf>
    <xf numFmtId="0" fontId="79" fillId="15" borderId="42" xfId="0" applyFont="1" applyFill="1" applyBorder="1" applyAlignment="1">
      <alignment horizontal="center" vertical="center" wrapText="1"/>
    </xf>
    <xf numFmtId="0" fontId="79" fillId="15" borderId="4" xfId="0" applyFont="1" applyFill="1" applyBorder="1" applyAlignment="1">
      <alignment horizontal="center" vertical="center" wrapText="1"/>
    </xf>
    <xf numFmtId="0" fontId="79" fillId="15" borderId="1" xfId="0" applyFont="1" applyFill="1" applyBorder="1" applyAlignment="1">
      <alignment horizontal="center" vertical="center" wrapText="1"/>
    </xf>
    <xf numFmtId="0" fontId="79" fillId="13" borderId="42" xfId="0" applyFont="1" applyFill="1" applyBorder="1" applyAlignment="1">
      <alignment vertical="center" wrapText="1"/>
    </xf>
    <xf numFmtId="0" fontId="0" fillId="13" borderId="4" xfId="0" applyFill="1" applyBorder="1" applyAlignment="1">
      <alignment vertical="center" wrapText="1"/>
    </xf>
    <xf numFmtId="0" fontId="0" fillId="13" borderId="1" xfId="0" applyFill="1" applyBorder="1" applyAlignment="1">
      <alignment vertical="center" wrapText="1"/>
    </xf>
    <xf numFmtId="0" fontId="79" fillId="13" borderId="2" xfId="0" applyFont="1" applyFill="1" applyBorder="1" applyAlignment="1">
      <alignment vertical="center" wrapText="1"/>
    </xf>
    <xf numFmtId="0" fontId="79" fillId="13" borderId="37" xfId="0" applyFont="1" applyFill="1" applyBorder="1" applyAlignment="1">
      <alignment vertical="center" wrapText="1"/>
    </xf>
    <xf numFmtId="0" fontId="53" fillId="15" borderId="42" xfId="0" applyFont="1" applyFill="1" applyBorder="1" applyAlignment="1">
      <alignment horizontal="center" vertical="top" wrapText="1"/>
    </xf>
    <xf numFmtId="0" fontId="53" fillId="15" borderId="4" xfId="0" applyFont="1" applyFill="1" applyBorder="1" applyAlignment="1">
      <alignment horizontal="center" vertical="top" wrapText="1"/>
    </xf>
    <xf numFmtId="0" fontId="53" fillId="15" borderId="1" xfId="0" applyFont="1" applyFill="1" applyBorder="1" applyAlignment="1">
      <alignment horizontal="center" vertical="top" wrapText="1"/>
    </xf>
    <xf numFmtId="0" fontId="4" fillId="15" borderId="42" xfId="0" applyFont="1" applyFill="1" applyBorder="1" applyAlignment="1">
      <alignment horizontal="left" vertical="top" wrapText="1"/>
    </xf>
    <xf numFmtId="0" fontId="4" fillId="15" borderId="4" xfId="0" applyFont="1" applyFill="1" applyBorder="1" applyAlignment="1">
      <alignment horizontal="left" vertical="top" wrapText="1"/>
    </xf>
    <xf numFmtId="0" fontId="4" fillId="15" borderId="1" xfId="0" applyFont="1" applyFill="1" applyBorder="1" applyAlignment="1">
      <alignment horizontal="left" vertical="top" wrapText="1"/>
    </xf>
    <xf numFmtId="0" fontId="4" fillId="13" borderId="37" xfId="0" applyFont="1" applyFill="1" applyBorder="1" applyAlignment="1">
      <alignment vertical="center" wrapText="1"/>
    </xf>
    <xf numFmtId="0" fontId="4" fillId="0" borderId="39" xfId="0" applyFont="1" applyBorder="1" applyAlignment="1">
      <alignment vertical="center"/>
    </xf>
    <xf numFmtId="0" fontId="79" fillId="0" borderId="0" xfId="0" applyFont="1" applyAlignment="1">
      <alignment vertical="center" wrapText="1"/>
    </xf>
    <xf numFmtId="0" fontId="53" fillId="15" borderId="42" xfId="0" applyFont="1" applyFill="1" applyBorder="1" applyAlignment="1">
      <alignment vertical="top" wrapText="1"/>
    </xf>
    <xf numFmtId="0" fontId="53" fillId="15" borderId="4" xfId="0" applyFont="1" applyFill="1" applyBorder="1" applyAlignment="1">
      <alignment vertical="top" wrapText="1"/>
    </xf>
    <xf numFmtId="0" fontId="4" fillId="0" borderId="6" xfId="0" applyFont="1" applyBorder="1" applyAlignment="1">
      <alignment vertical="center" wrapText="1"/>
    </xf>
    <xf numFmtId="0" fontId="81" fillId="0" borderId="39" xfId="0" applyFont="1" applyBorder="1" applyAlignment="1">
      <alignment horizontal="left" vertical="center" shrinkToFit="1"/>
    </xf>
    <xf numFmtId="0" fontId="0" fillId="15" borderId="37" xfId="0" applyFill="1" applyBorder="1" applyAlignment="1">
      <alignment vertical="center" wrapText="1"/>
    </xf>
    <xf numFmtId="0" fontId="4" fillId="13" borderId="2" xfId="0" applyFont="1" applyFill="1" applyBorder="1" applyAlignment="1">
      <alignment vertical="center" wrapText="1"/>
    </xf>
    <xf numFmtId="0" fontId="79" fillId="0" borderId="38" xfId="0" applyFont="1" applyBorder="1" applyAlignment="1">
      <alignment vertical="center"/>
    </xf>
    <xf numFmtId="0" fontId="79" fillId="0" borderId="39" xfId="0" applyFont="1" applyBorder="1" applyAlignment="1">
      <alignment vertical="center"/>
    </xf>
    <xf numFmtId="0" fontId="79" fillId="0" borderId="38" xfId="0" applyFont="1" applyBorder="1" applyAlignment="1">
      <alignment horizontal="left" vertical="center"/>
    </xf>
    <xf numFmtId="0" fontId="79" fillId="0" borderId="39" xfId="0" applyFont="1" applyBorder="1" applyAlignment="1">
      <alignment horizontal="left" vertical="center"/>
    </xf>
    <xf numFmtId="0" fontId="79" fillId="0" borderId="37" xfId="0" applyFont="1" applyBorder="1" applyAlignment="1">
      <alignmen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15" borderId="42" xfId="0" applyFont="1" applyFill="1" applyBorder="1" applyAlignment="1">
      <alignment vertical="top" wrapText="1"/>
    </xf>
    <xf numFmtId="0" fontId="4" fillId="15" borderId="4" xfId="0" applyFont="1" applyFill="1" applyBorder="1" applyAlignment="1">
      <alignment vertical="top" wrapText="1"/>
    </xf>
    <xf numFmtId="0" fontId="4" fillId="15" borderId="1" xfId="0" applyFont="1" applyFill="1" applyBorder="1" applyAlignment="1">
      <alignment vertical="top"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4" fillId="15" borderId="38"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0" fillId="13" borderId="6" xfId="0" applyFill="1" applyBorder="1" applyAlignment="1">
      <alignment vertical="center" wrapText="1"/>
    </xf>
    <xf numFmtId="0" fontId="0" fillId="13" borderId="7" xfId="0" applyFill="1" applyBorder="1" applyAlignment="1">
      <alignment vertical="center" wrapText="1"/>
    </xf>
    <xf numFmtId="0" fontId="0" fillId="3" borderId="42" xfId="0" applyFill="1" applyBorder="1" applyAlignment="1">
      <alignment horizontal="center" vertical="center" wrapText="1"/>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4" fillId="15" borderId="7"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3" fillId="0" borderId="38" xfId="0" applyFont="1" applyBorder="1" applyAlignment="1">
      <alignment horizontal="left" vertical="center"/>
    </xf>
    <xf numFmtId="0" fontId="3" fillId="0" borderId="40" xfId="0" applyFont="1" applyBorder="1" applyAlignment="1">
      <alignment horizontal="left" vertical="center"/>
    </xf>
    <xf numFmtId="0" fontId="10" fillId="15" borderId="42"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4" fillId="15" borderId="7"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15" borderId="6" xfId="0" applyFont="1" applyFill="1" applyBorder="1" applyAlignment="1">
      <alignment horizontal="left" vertical="top" wrapText="1"/>
    </xf>
    <xf numFmtId="0" fontId="4" fillId="3" borderId="38"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15" borderId="42" xfId="0" applyFont="1" applyFill="1" applyBorder="1" applyAlignment="1">
      <alignment horizontal="left" vertical="center" wrapText="1"/>
    </xf>
    <xf numFmtId="0" fontId="0" fillId="15" borderId="4" xfId="0" applyFill="1" applyBorder="1" applyAlignment="1">
      <alignment horizontal="left" vertical="center" wrapText="1"/>
    </xf>
    <xf numFmtId="0" fontId="0" fillId="15" borderId="1" xfId="0" applyFill="1" applyBorder="1" applyAlignment="1">
      <alignment horizontal="left" vertical="center" wrapText="1"/>
    </xf>
    <xf numFmtId="0" fontId="4" fillId="14" borderId="38" xfId="0" applyFont="1" applyFill="1" applyBorder="1" applyAlignment="1">
      <alignment vertical="center" wrapText="1"/>
    </xf>
    <xf numFmtId="0" fontId="79" fillId="14" borderId="1" xfId="0" applyFont="1" applyFill="1" applyBorder="1" applyAlignment="1">
      <alignment vertical="center" wrapText="1"/>
    </xf>
    <xf numFmtId="0" fontId="4" fillId="15" borderId="38" xfId="0" applyFont="1" applyFill="1" applyBorder="1" applyAlignment="1">
      <alignment horizontal="center" vertical="center"/>
    </xf>
    <xf numFmtId="0" fontId="4" fillId="15" borderId="39" xfId="0" applyFont="1" applyFill="1" applyBorder="1" applyAlignment="1">
      <alignment horizontal="center" vertical="center"/>
    </xf>
    <xf numFmtId="0" fontId="4" fillId="15" borderId="40" xfId="0" applyFont="1" applyFill="1" applyBorder="1" applyAlignment="1">
      <alignment horizontal="center" vertical="center"/>
    </xf>
    <xf numFmtId="0" fontId="79" fillId="0" borderId="42" xfId="0" applyFont="1" applyBorder="1" applyAlignment="1">
      <alignment horizontal="left" vertical="center" wrapText="1"/>
    </xf>
    <xf numFmtId="0" fontId="79" fillId="0" borderId="4" xfId="0" applyFont="1" applyBorder="1" applyAlignment="1">
      <alignment horizontal="left" vertical="center" wrapText="1"/>
    </xf>
    <xf numFmtId="0" fontId="79" fillId="0" borderId="1" xfId="0" applyFont="1" applyBorder="1" applyAlignment="1">
      <alignment horizontal="left" vertical="center" wrapText="1"/>
    </xf>
    <xf numFmtId="0" fontId="4" fillId="13" borderId="6" xfId="0" applyFont="1" applyFill="1" applyBorder="1" applyAlignment="1">
      <alignment horizontal="center" vertical="center" wrapText="1" shrinkToFit="1"/>
    </xf>
    <xf numFmtId="0" fontId="4" fillId="0" borderId="42" xfId="0" applyFont="1" applyBorder="1" applyAlignment="1">
      <alignment horizontal="center" vertical="center" wrapText="1" shrinkToFit="1"/>
    </xf>
    <xf numFmtId="0" fontId="53" fillId="15" borderId="6" xfId="0" applyFont="1" applyFill="1" applyBorder="1" applyAlignment="1">
      <alignment vertical="top" wrapText="1"/>
    </xf>
    <xf numFmtId="0" fontId="53" fillId="15" borderId="7" xfId="0" applyFont="1" applyFill="1" applyBorder="1" applyAlignment="1">
      <alignment vertical="top" wrapText="1"/>
    </xf>
    <xf numFmtId="0" fontId="4" fillId="15" borderId="3" xfId="0" applyFont="1" applyFill="1" applyBorder="1" applyAlignment="1">
      <alignment vertical="top" wrapText="1"/>
    </xf>
    <xf numFmtId="0" fontId="4" fillId="15" borderId="0" xfId="0" applyFont="1" applyFill="1" applyAlignment="1">
      <alignment vertical="top" wrapText="1"/>
    </xf>
    <xf numFmtId="0" fontId="4" fillId="15" borderId="6" xfId="0" applyFont="1" applyFill="1" applyBorder="1" applyAlignment="1">
      <alignment vertical="top" wrapText="1"/>
    </xf>
    <xf numFmtId="0" fontId="4" fillId="15" borderId="7" xfId="0" applyFont="1" applyFill="1" applyBorder="1" applyAlignment="1">
      <alignment vertical="top" wrapText="1"/>
    </xf>
    <xf numFmtId="0" fontId="4" fillId="15" borderId="2" xfId="0" applyFont="1" applyFill="1" applyBorder="1" applyAlignment="1">
      <alignment vertical="top" wrapText="1"/>
    </xf>
    <xf numFmtId="0" fontId="4" fillId="3" borderId="4" xfId="0" applyFont="1" applyFill="1" applyBorder="1" applyAlignment="1">
      <alignment vertical="center" wrapText="1"/>
    </xf>
    <xf numFmtId="0" fontId="4" fillId="14" borderId="42" xfId="0" applyFont="1" applyFill="1" applyBorder="1" applyAlignment="1">
      <alignment horizontal="left" vertical="top" wrapText="1"/>
    </xf>
    <xf numFmtId="0" fontId="4" fillId="14" borderId="4" xfId="0" applyFont="1" applyFill="1" applyBorder="1" applyAlignment="1">
      <alignment horizontal="left" vertical="top" wrapText="1"/>
    </xf>
    <xf numFmtId="0" fontId="4" fillId="14" borderId="1" xfId="0" applyFont="1" applyFill="1" applyBorder="1" applyAlignment="1">
      <alignment horizontal="left" vertical="top" wrapText="1"/>
    </xf>
    <xf numFmtId="0" fontId="4" fillId="15" borderId="41" xfId="0" applyFont="1" applyFill="1" applyBorder="1" applyAlignment="1">
      <alignment vertical="top" wrapText="1"/>
    </xf>
    <xf numFmtId="0" fontId="4" fillId="15" borderId="5" xfId="0" applyFont="1" applyFill="1" applyBorder="1" applyAlignment="1">
      <alignment vertical="top"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9" xfId="0" applyFill="1" applyBorder="1" applyAlignment="1">
      <alignment horizontal="center" vertical="center" wrapText="1"/>
    </xf>
    <xf numFmtId="0" fontId="79" fillId="15" borderId="37" xfId="0" applyFont="1" applyFill="1" applyBorder="1" applyAlignment="1">
      <alignment horizontal="center" vertical="center" wrapText="1"/>
    </xf>
    <xf numFmtId="0" fontId="10" fillId="15" borderId="42"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10" fillId="15" borderId="6" xfId="0" applyFont="1" applyFill="1" applyBorder="1" applyAlignment="1">
      <alignment horizontal="left" vertical="center" wrapText="1"/>
    </xf>
    <xf numFmtId="0" fontId="10" fillId="0" borderId="42"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15" borderId="6"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3" borderId="42" xfId="0" applyFont="1" applyFill="1" applyBorder="1" applyAlignment="1">
      <alignment horizontal="left" vertical="center" wrapText="1"/>
    </xf>
    <xf numFmtId="0" fontId="10" fillId="13" borderId="4" xfId="0" applyFont="1" applyFill="1" applyBorder="1" applyAlignment="1">
      <alignment horizontal="left" vertical="center" wrapText="1"/>
    </xf>
    <xf numFmtId="0" fontId="10" fillId="13" borderId="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3" borderId="2" xfId="0" applyFont="1" applyFill="1" applyBorder="1" applyAlignment="1">
      <alignment horizontal="left" vertical="center" wrapText="1"/>
    </xf>
    <xf numFmtId="0" fontId="10" fillId="13" borderId="37" xfId="0" applyFont="1" applyFill="1" applyBorder="1" applyAlignment="1">
      <alignment horizontal="left" vertical="center" wrapText="1"/>
    </xf>
    <xf numFmtId="0" fontId="10" fillId="15" borderId="37" xfId="0" applyFont="1" applyFill="1" applyBorder="1" applyAlignment="1">
      <alignment horizontal="left" vertical="center" wrapText="1"/>
    </xf>
    <xf numFmtId="0" fontId="4" fillId="15" borderId="38" xfId="0" applyFont="1" applyFill="1" applyBorder="1" applyAlignment="1">
      <alignment horizontal="center" vertical="center" shrinkToFit="1"/>
    </xf>
    <xf numFmtId="0" fontId="4" fillId="15" borderId="39" xfId="0" applyFont="1" applyFill="1" applyBorder="1" applyAlignment="1">
      <alignment horizontal="center" vertical="center" shrinkToFit="1"/>
    </xf>
    <xf numFmtId="0" fontId="0" fillId="0" borderId="7" xfId="0" applyBorder="1" applyAlignment="1">
      <alignment vertical="center" wrapText="1"/>
    </xf>
    <xf numFmtId="0" fontId="0" fillId="0" borderId="2" xfId="0" applyBorder="1" applyAlignment="1">
      <alignment vertical="center" wrapText="1"/>
    </xf>
    <xf numFmtId="0" fontId="4" fillId="15" borderId="40" xfId="0" applyFont="1" applyFill="1" applyBorder="1" applyAlignment="1">
      <alignment horizontal="center" vertical="center" wrapText="1"/>
    </xf>
    <xf numFmtId="0" fontId="0" fillId="0" borderId="6" xfId="0" applyBorder="1" applyAlignment="1">
      <alignment vertical="center" wrapText="1"/>
    </xf>
    <xf numFmtId="0" fontId="0" fillId="3" borderId="42" xfId="0" applyFill="1" applyBorder="1" applyAlignment="1">
      <alignment vertical="center" wrapText="1"/>
    </xf>
    <xf numFmtId="0" fontId="0" fillId="15" borderId="7" xfId="0" applyFill="1" applyBorder="1" applyAlignment="1">
      <alignment horizontal="left" vertical="center" wrapText="1"/>
    </xf>
    <xf numFmtId="0" fontId="0" fillId="15" borderId="2" xfId="0" applyFill="1" applyBorder="1" applyAlignment="1">
      <alignment horizontal="left" vertical="center" wrapText="1"/>
    </xf>
    <xf numFmtId="0" fontId="0" fillId="13" borderId="4" xfId="0" applyFill="1" applyBorder="1" applyAlignment="1">
      <alignment horizontal="left" vertical="center" wrapText="1"/>
    </xf>
    <xf numFmtId="0" fontId="0" fillId="13" borderId="1" xfId="0" applyFill="1" applyBorder="1" applyAlignment="1">
      <alignment horizontal="left" vertical="center" wrapText="1"/>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7</xdr:col>
      <xdr:colOff>680</xdr:colOff>
      <xdr:row>19</xdr:row>
      <xdr:rowOff>32508</xdr:rowOff>
    </xdr:to>
    <xdr:pic>
      <xdr:nvPicPr>
        <xdr:cNvPr id="3" name="図 2">
          <a:extLst>
            <a:ext uri="{FF2B5EF4-FFF2-40B4-BE49-F238E27FC236}">
              <a16:creationId xmlns=""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69</xdr:row>
      <xdr:rowOff>36527</xdr:rowOff>
    </xdr:from>
    <xdr:to>
      <xdr:col>17</xdr:col>
      <xdr:colOff>389536</xdr:colOff>
      <xdr:row>98</xdr:row>
      <xdr:rowOff>179932</xdr:rowOff>
    </xdr:to>
    <xdr:pic>
      <xdr:nvPicPr>
        <xdr:cNvPr id="3" name="図 2">
          <a:extLst>
            <a:ext uri="{FF2B5EF4-FFF2-40B4-BE49-F238E27FC236}">
              <a16:creationId xmlns=""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957943</xdr:colOff>
      <xdr:row>31</xdr:row>
      <xdr:rowOff>0</xdr:rowOff>
    </xdr:to>
    <xdr:sp macro="[0]!appenRow2" textlink="">
      <xdr:nvSpPr>
        <xdr:cNvPr id="2" name="テキスト ボックス 1">
          <a:extLst>
            <a:ext uri="{FF2B5EF4-FFF2-40B4-BE49-F238E27FC236}">
              <a16:creationId xmlns=""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35</xdr:row>
      <xdr:rowOff>259095</xdr:rowOff>
    </xdr:from>
    <xdr:to>
      <xdr:col>9</xdr:col>
      <xdr:colOff>158681</xdr:colOff>
      <xdr:row>45</xdr:row>
      <xdr:rowOff>23691</xdr:rowOff>
    </xdr:to>
    <xdr:pic>
      <xdr:nvPicPr>
        <xdr:cNvPr id="7" name="図 6">
          <a:extLst>
            <a:ext uri="{FF2B5EF4-FFF2-40B4-BE49-F238E27FC236}">
              <a16:creationId xmlns=""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35</xdr:row>
      <xdr:rowOff>259095</xdr:rowOff>
    </xdr:from>
    <xdr:to>
      <xdr:col>5</xdr:col>
      <xdr:colOff>339477</xdr:colOff>
      <xdr:row>52</xdr:row>
      <xdr:rowOff>168273</xdr:rowOff>
    </xdr:to>
    <xdr:pic>
      <xdr:nvPicPr>
        <xdr:cNvPr id="5" name="図 4">
          <a:extLst>
            <a:ext uri="{FF2B5EF4-FFF2-40B4-BE49-F238E27FC236}">
              <a16:creationId xmlns=""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35</xdr:row>
      <xdr:rowOff>259095</xdr:rowOff>
    </xdr:from>
    <xdr:to>
      <xdr:col>1</xdr:col>
      <xdr:colOff>2050670</xdr:colOff>
      <xdr:row>52</xdr:row>
      <xdr:rowOff>168273</xdr:rowOff>
    </xdr:to>
    <xdr:pic>
      <xdr:nvPicPr>
        <xdr:cNvPr id="8" name="図 7">
          <a:extLst>
            <a:ext uri="{FF2B5EF4-FFF2-40B4-BE49-F238E27FC236}">
              <a16:creationId xmlns=""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xmlns="" id="{A029A0DD-F2D8-4E71-B2D8-C34D49C951C9}"/>
            </a:ext>
          </a:extLst>
        </xdr:cNvPr>
        <xdr:cNvSpPr txBox="1"/>
      </xdr:nvSpPr>
      <xdr:spPr>
        <a:xfrm>
          <a:off x="11596495" y="200005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xmlns="" id="{0A93EA91-9929-49E7-928E-5DC4169419EF}"/>
            </a:ext>
          </a:extLst>
        </xdr:cNvPr>
        <xdr:cNvSpPr txBox="1"/>
      </xdr:nvSpPr>
      <xdr:spPr>
        <a:xfrm>
          <a:off x="25604755" y="195378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xmlns=""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0030-norinsuisanka/000000MASTER/01&#36786;&#26989;&#27700;&#29987;&#20418;/01&#36786;&#26989;&#25391;&#33288;/7080%20&#20013;&#23665;&#38291;&#22320;&#22495;&#30452;&#25509;&#25903;&#25173;&#20107;&#26989;&#36027;/&#9733;&#20013;&#23665;&#38291;&#31532;&#65302;&#26399;&#38306;&#20418;&#35215;&#23450;&#12539;Q&amp;A&#12539;&#27096;&#24335;&#31561;&#9733;/&#9733;&#9733;&#37325;&#35201;&#9733;&#9733;&#30476;&#12363;&#12425;&#12398;&#36890;&#30693;(&#27096;&#24335;&#12539;Q&amp;A&#31561;&#12354;&#12426;)/070502&#36890;&#30693;/20250423%20&#36039;&#26009;/02_&#20013;&#23665;&#38291;&#22320;&#22495;&#31561;&#30452;&#25509;&#25903;&#25173;&#20132;&#20184;&#37329;&#21442;&#32771;&#27096;&#24335;&#38598;&#65288;&#31532;6&#26399;&#23550;&#315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事務・組織運営等に関する研修、機械の安全使用に関する研修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鳥獣被害防止対策及び環境改善活動の強化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やすらぎ・福祉及び教育機能の活用</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広報活動・農的関係人口の拡大</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row r="72">
          <cell r="K72">
            <v>67</v>
          </cell>
          <cell r="L72" t="str">
            <v>中山間直払</v>
          </cell>
          <cell r="M72" t="str">
            <v>-</v>
          </cell>
          <cell r="N72" t="str">
            <v>-</v>
          </cell>
          <cell r="O72" t="str">
            <v>農地法面の見回り</v>
          </cell>
        </row>
        <row r="73">
          <cell r="K73">
            <v>68</v>
          </cell>
          <cell r="L73" t="str">
            <v>中山間直払</v>
          </cell>
          <cell r="M73" t="str">
            <v>-</v>
          </cell>
          <cell r="N73" t="str">
            <v>-</v>
          </cell>
          <cell r="O73" t="str">
            <v>鳥獣被害防止対策</v>
          </cell>
        </row>
        <row r="74">
          <cell r="K74">
            <v>69</v>
          </cell>
          <cell r="L74" t="str">
            <v>中山間直払</v>
          </cell>
          <cell r="M74" t="str">
            <v>-</v>
          </cell>
          <cell r="N74" t="str">
            <v>-</v>
          </cell>
          <cell r="O74" t="str">
            <v>水路管理活動</v>
          </cell>
        </row>
        <row r="75">
          <cell r="K75">
            <v>70</v>
          </cell>
          <cell r="L75" t="str">
            <v>中山間直払</v>
          </cell>
          <cell r="M75" t="str">
            <v>-</v>
          </cell>
          <cell r="N75" t="str">
            <v>-</v>
          </cell>
          <cell r="O75" t="str">
            <v>農道管理活動</v>
          </cell>
        </row>
        <row r="76">
          <cell r="K76">
            <v>71</v>
          </cell>
          <cell r="L76" t="str">
            <v>中山間直払</v>
          </cell>
          <cell r="M76" t="str">
            <v>-</v>
          </cell>
          <cell r="N76" t="str">
            <v>-</v>
          </cell>
          <cell r="O76" t="str">
            <v>周辺林地の下草刈り</v>
          </cell>
        </row>
        <row r="77">
          <cell r="K77">
            <v>72</v>
          </cell>
          <cell r="L77" t="str">
            <v>中山間直払</v>
          </cell>
          <cell r="M77" t="str">
            <v>-</v>
          </cell>
          <cell r="N77" t="str">
            <v>-</v>
          </cell>
          <cell r="O77" t="str">
            <v>景観作物作付け活動</v>
          </cell>
        </row>
        <row r="78">
          <cell r="K78">
            <v>73</v>
          </cell>
          <cell r="L78" t="str">
            <v>中山間直払</v>
          </cell>
          <cell r="M78" t="str">
            <v>-</v>
          </cell>
          <cell r="N78" t="str">
            <v>-</v>
          </cell>
          <cell r="O78" t="str">
            <v>ネットワーク化活動計画の話合い</v>
          </cell>
        </row>
        <row r="79">
          <cell r="K79">
            <v>74</v>
          </cell>
          <cell r="L79" t="str">
            <v>中山間直払</v>
          </cell>
          <cell r="M79" t="str">
            <v>-</v>
          </cell>
          <cell r="N79" t="str">
            <v>-</v>
          </cell>
          <cell r="O79" t="str">
            <v>総会</v>
          </cell>
        </row>
        <row r="80">
          <cell r="K80">
            <v>75</v>
          </cell>
          <cell r="L80" t="str">
            <v>中山間直払</v>
          </cell>
          <cell r="M80" t="str">
            <v>-</v>
          </cell>
          <cell r="N80" t="str">
            <v>-</v>
          </cell>
          <cell r="O80" t="str">
            <v>役員会</v>
          </cell>
        </row>
        <row r="81">
          <cell r="K81">
            <v>76</v>
          </cell>
          <cell r="L81" t="str">
            <v>中山間直払</v>
          </cell>
          <cell r="M81" t="str">
            <v>-</v>
          </cell>
          <cell r="N81" t="str">
            <v>-</v>
          </cell>
          <cell r="O81" t="str">
            <v>現地確認立会い</v>
          </cell>
        </row>
        <row r="82">
          <cell r="K82">
            <v>77</v>
          </cell>
          <cell r="L82" t="str">
            <v>中山間直払</v>
          </cell>
          <cell r="M82" t="str">
            <v>-</v>
          </cell>
          <cell r="N82" t="str">
            <v>-</v>
          </cell>
          <cell r="O82" t="str">
            <v>市役所打合せ</v>
          </cell>
        </row>
        <row r="83">
          <cell r="K83">
            <v>78</v>
          </cell>
          <cell r="L83" t="str">
            <v>中山間直払</v>
          </cell>
          <cell r="M83" t="str">
            <v>-</v>
          </cell>
          <cell r="N83" t="str">
            <v>-</v>
          </cell>
          <cell r="O83" t="str">
            <v>研修</v>
          </cell>
        </row>
        <row r="84">
          <cell r="K84">
            <v>79</v>
          </cell>
          <cell r="L84" t="str">
            <v>中山間直払</v>
          </cell>
          <cell r="M84" t="str">
            <v>-</v>
          </cell>
          <cell r="N84" t="str">
            <v>-</v>
          </cell>
          <cell r="O84" t="str">
            <v>その他</v>
          </cell>
        </row>
        <row r="85">
          <cell r="K85">
            <v>80</v>
          </cell>
          <cell r="L85" t="str">
            <v>中山間直払</v>
          </cell>
          <cell r="M85" t="str">
            <v>-</v>
          </cell>
          <cell r="N85" t="str">
            <v>-</v>
          </cell>
          <cell r="O85" t="str">
            <v>※適宜【選択肢】シートに項目を追加ください</v>
          </cell>
        </row>
        <row r="86">
          <cell r="M86" t="str">
            <v>この線より上に行を挿入してください。</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57"/>
  <sheetViews>
    <sheetView showGridLines="0" view="pageBreakPreview" zoomScaleNormal="100" zoomScaleSheetLayoutView="100" workbookViewId="0"/>
  </sheetViews>
  <sheetFormatPr defaultColWidth="9" defaultRowHeight="18.7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56" customWidth="1"/>
    <col min="10" max="258" width="9" style="56"/>
    <col min="259" max="16384" width="9" style="1"/>
  </cols>
  <sheetData>
    <row r="1" spans="1:258" ht="43.5" customHeight="1">
      <c r="A1" s="611" t="s">
        <v>0</v>
      </c>
    </row>
    <row r="2" spans="1:258" ht="24" customHeight="1" thickBot="1">
      <c r="A2" s="14" t="s">
        <v>1</v>
      </c>
      <c r="B2" s="14"/>
      <c r="C2" s="14"/>
      <c r="D2" s="15"/>
      <c r="E2" s="15"/>
      <c r="F2" s="15"/>
      <c r="G2" s="15"/>
      <c r="H2" s="15"/>
    </row>
    <row r="3" spans="1:258" ht="21" customHeight="1">
      <c r="B3" s="16" t="s">
        <v>2</v>
      </c>
      <c r="C3" s="17"/>
      <c r="D3" s="641" t="s">
        <v>1748</v>
      </c>
      <c r="E3" s="813" t="s">
        <v>3</v>
      </c>
      <c r="F3" s="813"/>
      <c r="G3" s="814"/>
    </row>
    <row r="4" spans="1:258" ht="21" customHeight="1">
      <c r="B4" s="18" t="s">
        <v>4</v>
      </c>
      <c r="C4" s="19"/>
      <c r="D4" s="642" t="s">
        <v>1749</v>
      </c>
      <c r="E4" s="792" t="s">
        <v>5</v>
      </c>
      <c r="F4" s="792"/>
      <c r="G4" s="793"/>
    </row>
    <row r="5" spans="1:258" ht="21" customHeight="1">
      <c r="B5" s="18" t="s">
        <v>6</v>
      </c>
      <c r="C5" s="19"/>
      <c r="D5" s="643" t="s">
        <v>1750</v>
      </c>
      <c r="E5" s="792" t="s">
        <v>1860</v>
      </c>
      <c r="F5" s="792"/>
      <c r="G5" s="793"/>
    </row>
    <row r="6" spans="1:258" ht="21" customHeight="1">
      <c r="B6" s="18" t="s">
        <v>7</v>
      </c>
      <c r="C6" s="19"/>
      <c r="D6" s="643" t="s">
        <v>1752</v>
      </c>
      <c r="E6" s="792" t="s">
        <v>1861</v>
      </c>
      <c r="F6" s="792"/>
      <c r="G6" s="793"/>
    </row>
    <row r="7" spans="1:258" ht="21" customHeight="1" thickBot="1">
      <c r="B7" s="20" t="s">
        <v>8</v>
      </c>
      <c r="C7" s="21"/>
      <c r="D7" s="830" t="s">
        <v>1753</v>
      </c>
      <c r="E7" s="830"/>
      <c r="F7" s="830"/>
      <c r="G7" s="831"/>
    </row>
    <row r="8" spans="1:258" ht="6.75" customHeight="1"/>
    <row r="9" spans="1:258" ht="24" customHeight="1">
      <c r="A9" s="14" t="s">
        <v>9</v>
      </c>
      <c r="B9" s="15"/>
      <c r="C9" s="15"/>
      <c r="D9" s="15"/>
      <c r="E9" s="15"/>
      <c r="F9" s="15"/>
      <c r="G9" s="15"/>
      <c r="H9" s="15"/>
      <c r="K9" s="794"/>
      <c r="L9" s="794"/>
      <c r="M9" s="794"/>
    </row>
    <row r="10" spans="1:258" ht="45.75" customHeight="1">
      <c r="B10" s="833" t="s">
        <v>10</v>
      </c>
      <c r="C10" s="833"/>
      <c r="D10" s="833"/>
      <c r="E10" s="833"/>
      <c r="F10" s="833"/>
      <c r="G10" s="833"/>
    </row>
    <row r="11" spans="1:258" ht="43.5" customHeight="1">
      <c r="A11" s="57"/>
      <c r="B11" s="832" t="s">
        <v>2117</v>
      </c>
      <c r="C11" s="832"/>
      <c r="D11" s="832"/>
      <c r="E11" s="832"/>
      <c r="F11" s="832"/>
      <c r="G11" s="832"/>
      <c r="H11" s="56"/>
    </row>
    <row r="12" spans="1:258" ht="7.5" customHeight="1">
      <c r="A12" s="442"/>
      <c r="B12" s="443"/>
      <c r="C12" s="444"/>
      <c r="D12" s="444"/>
      <c r="E12" s="444"/>
      <c r="F12" s="444"/>
      <c r="G12" s="444"/>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801" t="s">
        <v>2115</v>
      </c>
      <c r="C13" s="801"/>
      <c r="D13" s="801"/>
      <c r="E13" s="801"/>
      <c r="F13" s="801"/>
      <c r="G13" s="801"/>
    </row>
    <row r="14" spans="1:258" ht="23.25" customHeight="1">
      <c r="B14" s="803" t="s">
        <v>2116</v>
      </c>
      <c r="C14" s="803"/>
      <c r="D14" s="803"/>
      <c r="E14" s="803"/>
      <c r="F14" s="803"/>
      <c r="G14" s="803"/>
    </row>
    <row r="15" spans="1:258" ht="36" customHeight="1">
      <c r="B15" s="802" t="s">
        <v>11</v>
      </c>
      <c r="C15" s="802"/>
      <c r="D15" s="802"/>
      <c r="E15" s="802"/>
      <c r="F15" s="802"/>
      <c r="G15" s="802"/>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794"/>
      <c r="CC15" s="794"/>
      <c r="CD15" s="794"/>
      <c r="CE15" s="794"/>
      <c r="CF15" s="794"/>
      <c r="CG15" s="794"/>
      <c r="CH15" s="794"/>
      <c r="CI15" s="794"/>
      <c r="CJ15" s="794"/>
      <c r="CK15" s="794"/>
      <c r="CL15" s="794"/>
      <c r="CM15" s="794"/>
      <c r="CN15" s="794"/>
      <c r="CO15" s="794"/>
      <c r="CP15" s="794"/>
      <c r="CQ15" s="794"/>
      <c r="CR15" s="794"/>
      <c r="CS15" s="794"/>
      <c r="CT15" s="794"/>
      <c r="CU15" s="794"/>
      <c r="CV15" s="794"/>
      <c r="CW15" s="794"/>
      <c r="CX15" s="794"/>
      <c r="CY15" s="794"/>
      <c r="CZ15" s="794"/>
      <c r="DA15" s="794"/>
      <c r="DB15" s="794"/>
      <c r="DC15" s="794"/>
      <c r="DD15" s="794"/>
      <c r="DE15" s="794"/>
      <c r="DF15" s="794"/>
      <c r="DG15" s="794"/>
      <c r="DH15" s="794"/>
      <c r="DI15" s="794"/>
      <c r="DJ15" s="794"/>
      <c r="DK15" s="794"/>
      <c r="DL15" s="794"/>
      <c r="DM15" s="794"/>
      <c r="DN15" s="794"/>
      <c r="DO15" s="794"/>
      <c r="DP15" s="794"/>
      <c r="DQ15" s="794"/>
      <c r="DR15" s="794"/>
      <c r="DS15" s="794"/>
      <c r="DT15" s="794"/>
      <c r="DU15" s="794"/>
      <c r="DV15" s="794"/>
      <c r="DW15" s="794"/>
      <c r="DX15" s="794"/>
      <c r="DY15" s="794"/>
      <c r="DZ15" s="794"/>
      <c r="EA15" s="794"/>
      <c r="EB15" s="794"/>
      <c r="EC15" s="794"/>
      <c r="ED15" s="794"/>
      <c r="EE15" s="794"/>
      <c r="EF15" s="794"/>
      <c r="EG15" s="794"/>
      <c r="EH15" s="794"/>
      <c r="EI15" s="794"/>
      <c r="EJ15" s="794"/>
      <c r="EK15" s="794"/>
      <c r="EL15" s="794"/>
      <c r="EM15" s="794"/>
      <c r="EN15" s="794"/>
      <c r="EO15" s="794"/>
      <c r="EP15" s="794"/>
      <c r="EQ15" s="794"/>
      <c r="ER15" s="794"/>
      <c r="ES15" s="794"/>
      <c r="ET15" s="794"/>
      <c r="EU15" s="794"/>
      <c r="EV15" s="794"/>
      <c r="EW15" s="794"/>
      <c r="EX15" s="794"/>
      <c r="EY15" s="794"/>
      <c r="EZ15" s="794"/>
      <c r="FA15" s="794"/>
      <c r="FB15" s="794"/>
      <c r="FC15" s="794"/>
      <c r="FD15" s="794"/>
      <c r="FE15" s="794"/>
      <c r="FF15" s="794"/>
      <c r="FG15" s="794"/>
      <c r="FH15" s="794"/>
      <c r="FI15" s="794"/>
      <c r="FJ15" s="794"/>
      <c r="FK15" s="794"/>
      <c r="FL15" s="794"/>
      <c r="FM15" s="794"/>
      <c r="FN15" s="794"/>
      <c r="FO15" s="794"/>
      <c r="FP15" s="794"/>
      <c r="FQ15" s="794"/>
      <c r="FR15" s="794"/>
      <c r="FS15" s="794"/>
      <c r="FT15" s="794"/>
      <c r="FU15" s="794"/>
      <c r="FV15" s="794"/>
      <c r="FW15" s="794"/>
      <c r="FX15" s="794"/>
      <c r="FY15" s="794"/>
      <c r="FZ15" s="794"/>
      <c r="GA15" s="794"/>
      <c r="GB15" s="794"/>
      <c r="GC15" s="794"/>
      <c r="GD15" s="794"/>
      <c r="GE15" s="794"/>
      <c r="GF15" s="794"/>
      <c r="GG15" s="794"/>
      <c r="GH15" s="794"/>
      <c r="GI15" s="794"/>
      <c r="GJ15" s="794"/>
      <c r="GK15" s="794"/>
      <c r="GL15" s="794"/>
      <c r="GM15" s="794"/>
      <c r="GN15" s="794"/>
      <c r="GO15" s="794"/>
      <c r="GP15" s="794"/>
      <c r="GQ15" s="794"/>
      <c r="GR15" s="794"/>
      <c r="GS15" s="794"/>
      <c r="GT15" s="794"/>
      <c r="GU15" s="794"/>
      <c r="GV15" s="794"/>
      <c r="GW15" s="794"/>
      <c r="GX15" s="794"/>
      <c r="GY15" s="794"/>
      <c r="GZ15" s="794"/>
      <c r="HA15" s="794"/>
      <c r="HB15" s="794"/>
      <c r="HC15" s="794"/>
      <c r="HD15" s="794"/>
      <c r="HE15" s="794"/>
      <c r="HF15" s="794"/>
      <c r="HG15" s="794"/>
      <c r="HH15" s="794"/>
      <c r="HI15" s="794"/>
      <c r="HJ15" s="794"/>
      <c r="HK15" s="794"/>
      <c r="HL15" s="794"/>
      <c r="HM15" s="794"/>
      <c r="HN15" s="794"/>
      <c r="HO15" s="794"/>
      <c r="HP15" s="794"/>
      <c r="HQ15" s="794"/>
      <c r="HR15" s="794"/>
      <c r="HS15" s="794"/>
      <c r="HT15" s="794"/>
      <c r="HU15" s="794"/>
      <c r="HV15" s="794"/>
      <c r="HW15" s="794"/>
      <c r="HX15" s="794"/>
      <c r="HY15" s="794"/>
      <c r="HZ15" s="794"/>
      <c r="IA15" s="794"/>
      <c r="IB15" s="794"/>
      <c r="IC15" s="794"/>
      <c r="ID15" s="794"/>
      <c r="IE15" s="794"/>
      <c r="IF15" s="794"/>
      <c r="IG15" s="794"/>
      <c r="IH15" s="794"/>
      <c r="II15" s="794"/>
      <c r="IJ15" s="794"/>
      <c r="IK15" s="794"/>
      <c r="IL15" s="794"/>
      <c r="IM15" s="794"/>
      <c r="IN15" s="794"/>
      <c r="IO15" s="794"/>
      <c r="IP15" s="794"/>
      <c r="IQ15" s="794"/>
      <c r="IR15" s="794"/>
      <c r="IS15" s="794"/>
      <c r="IT15" s="794"/>
      <c r="IU15" s="794"/>
      <c r="IV15" s="794"/>
      <c r="IW15" s="794"/>
      <c r="IX15" s="794"/>
    </row>
    <row r="16" spans="1:258" ht="18.75" customHeight="1">
      <c r="B16" s="834" t="s">
        <v>2106</v>
      </c>
      <c r="C16" s="834"/>
      <c r="D16" s="834"/>
      <c r="E16" s="834"/>
      <c r="F16" s="834"/>
      <c r="G16" s="834"/>
    </row>
    <row r="17" spans="1:258" ht="30" customHeight="1">
      <c r="B17" s="833" t="s">
        <v>12</v>
      </c>
      <c r="C17" s="833"/>
      <c r="D17" s="833"/>
      <c r="E17" s="833"/>
      <c r="F17" s="833"/>
      <c r="G17" s="833"/>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794"/>
      <c r="CC17" s="794"/>
      <c r="CD17" s="794"/>
      <c r="CE17" s="794"/>
      <c r="CF17" s="794"/>
      <c r="CG17" s="794"/>
      <c r="CH17" s="794"/>
      <c r="CI17" s="794"/>
      <c r="CJ17" s="794"/>
      <c r="CK17" s="794"/>
      <c r="CL17" s="794"/>
      <c r="CM17" s="794"/>
      <c r="CN17" s="794"/>
      <c r="CO17" s="794"/>
      <c r="CP17" s="794"/>
      <c r="CQ17" s="794"/>
      <c r="CR17" s="794"/>
      <c r="CS17" s="794"/>
      <c r="CT17" s="794"/>
      <c r="CU17" s="794"/>
      <c r="CV17" s="794"/>
      <c r="CW17" s="794"/>
      <c r="CX17" s="794"/>
      <c r="CY17" s="794"/>
      <c r="CZ17" s="794"/>
      <c r="DA17" s="794"/>
      <c r="DB17" s="794"/>
      <c r="DC17" s="794"/>
      <c r="DD17" s="794"/>
      <c r="DE17" s="794"/>
      <c r="DF17" s="794"/>
      <c r="DG17" s="794"/>
      <c r="DH17" s="794"/>
      <c r="DI17" s="794"/>
      <c r="DJ17" s="794"/>
      <c r="DK17" s="794"/>
      <c r="DL17" s="794"/>
      <c r="DM17" s="794"/>
      <c r="DN17" s="794"/>
      <c r="DO17" s="794"/>
      <c r="DP17" s="794"/>
      <c r="DQ17" s="794"/>
      <c r="DR17" s="794"/>
      <c r="DS17" s="794"/>
      <c r="DT17" s="794"/>
      <c r="DU17" s="794"/>
      <c r="DV17" s="794"/>
      <c r="DW17" s="794"/>
      <c r="DX17" s="794"/>
      <c r="DY17" s="794"/>
      <c r="DZ17" s="794"/>
      <c r="EA17" s="794"/>
      <c r="EB17" s="794"/>
      <c r="EC17" s="794"/>
      <c r="ED17" s="794"/>
      <c r="EE17" s="794"/>
      <c r="EF17" s="794"/>
      <c r="EG17" s="794"/>
      <c r="EH17" s="794"/>
      <c r="EI17" s="794"/>
      <c r="EJ17" s="794"/>
      <c r="EK17" s="794"/>
      <c r="EL17" s="794"/>
      <c r="EM17" s="794"/>
      <c r="EN17" s="794"/>
      <c r="EO17" s="794"/>
      <c r="EP17" s="794"/>
      <c r="EQ17" s="794"/>
      <c r="ER17" s="794"/>
      <c r="ES17" s="794"/>
      <c r="ET17" s="794"/>
      <c r="EU17" s="794"/>
      <c r="EV17" s="794"/>
      <c r="EW17" s="794"/>
      <c r="EX17" s="794"/>
      <c r="EY17" s="794"/>
      <c r="EZ17" s="794"/>
      <c r="FA17" s="794"/>
      <c r="FB17" s="794"/>
      <c r="FC17" s="794"/>
      <c r="FD17" s="794"/>
      <c r="FE17" s="794"/>
      <c r="FF17" s="794"/>
      <c r="FG17" s="794"/>
      <c r="FH17" s="794"/>
      <c r="FI17" s="794"/>
      <c r="FJ17" s="794"/>
      <c r="FK17" s="794"/>
      <c r="FL17" s="794"/>
      <c r="FM17" s="794"/>
      <c r="FN17" s="794"/>
      <c r="FO17" s="794"/>
      <c r="FP17" s="794"/>
      <c r="FQ17" s="794"/>
      <c r="FR17" s="794"/>
      <c r="FS17" s="794"/>
      <c r="FT17" s="794"/>
      <c r="FU17" s="794"/>
      <c r="FV17" s="794"/>
      <c r="FW17" s="794"/>
      <c r="FX17" s="794"/>
      <c r="FY17" s="794"/>
      <c r="FZ17" s="794"/>
      <c r="GA17" s="794"/>
      <c r="GB17" s="794"/>
      <c r="GC17" s="794"/>
      <c r="GD17" s="794"/>
      <c r="GE17" s="794"/>
      <c r="GF17" s="794"/>
      <c r="GG17" s="794"/>
      <c r="GH17" s="794"/>
      <c r="GI17" s="794"/>
      <c r="GJ17" s="794"/>
      <c r="GK17" s="794"/>
      <c r="GL17" s="794"/>
      <c r="GM17" s="794"/>
      <c r="GN17" s="794"/>
      <c r="GO17" s="794"/>
      <c r="GP17" s="794"/>
      <c r="GQ17" s="794"/>
      <c r="GR17" s="794"/>
      <c r="GS17" s="794"/>
      <c r="GT17" s="794"/>
      <c r="GU17" s="794"/>
      <c r="GV17" s="794"/>
      <c r="GW17" s="794"/>
      <c r="GX17" s="794"/>
      <c r="GY17" s="794"/>
      <c r="GZ17" s="794"/>
      <c r="HA17" s="794"/>
      <c r="HB17" s="794"/>
      <c r="HC17" s="794"/>
      <c r="HD17" s="794"/>
      <c r="HE17" s="794"/>
      <c r="HF17" s="794"/>
      <c r="HG17" s="794"/>
      <c r="HH17" s="794"/>
      <c r="HI17" s="794"/>
      <c r="HJ17" s="794"/>
      <c r="HK17" s="794"/>
      <c r="HL17" s="794"/>
      <c r="HM17" s="794"/>
      <c r="HN17" s="794"/>
      <c r="HO17" s="794"/>
      <c r="HP17" s="794"/>
      <c r="HQ17" s="794"/>
      <c r="HR17" s="794"/>
      <c r="HS17" s="794"/>
      <c r="HT17" s="794"/>
      <c r="HU17" s="794"/>
      <c r="HV17" s="794"/>
      <c r="HW17" s="794"/>
      <c r="HX17" s="794"/>
      <c r="HY17" s="794"/>
      <c r="HZ17" s="794"/>
      <c r="IA17" s="794"/>
      <c r="IB17" s="794"/>
      <c r="IC17" s="794"/>
      <c r="ID17" s="794"/>
      <c r="IE17" s="794"/>
      <c r="IF17" s="794"/>
      <c r="IG17" s="794"/>
      <c r="IH17" s="794"/>
      <c r="II17" s="794"/>
      <c r="IJ17" s="794"/>
      <c r="IK17" s="794"/>
      <c r="IL17" s="794"/>
      <c r="IM17" s="794"/>
      <c r="IN17" s="794"/>
      <c r="IO17" s="794"/>
      <c r="IP17" s="794"/>
      <c r="IQ17" s="794"/>
      <c r="IR17" s="794"/>
      <c r="IS17" s="794"/>
      <c r="IT17" s="794"/>
      <c r="IU17" s="794"/>
      <c r="IV17" s="794"/>
      <c r="IW17" s="794"/>
      <c r="IX17" s="794"/>
    </row>
    <row r="18" spans="1:258" ht="21" customHeight="1">
      <c r="B18" s="829" t="s">
        <v>13</v>
      </c>
      <c r="C18" s="829"/>
      <c r="D18" s="829"/>
      <c r="E18" s="829"/>
      <c r="F18" s="829"/>
      <c r="G18" s="829"/>
    </row>
    <row r="19" spans="1:258" ht="9.75" customHeight="1"/>
    <row r="20" spans="1:258" ht="23.25" customHeight="1">
      <c r="A20" s="14" t="s">
        <v>14</v>
      </c>
      <c r="B20" s="14"/>
      <c r="C20" s="15"/>
      <c r="D20" s="14"/>
      <c r="E20" s="14"/>
      <c r="F20" s="14"/>
      <c r="G20" s="14"/>
      <c r="H20" s="15"/>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794"/>
      <c r="CB20" s="794"/>
      <c r="CC20" s="794"/>
      <c r="CD20" s="794"/>
      <c r="CE20" s="794"/>
      <c r="CF20" s="794"/>
      <c r="CG20" s="794"/>
      <c r="CH20" s="794"/>
      <c r="CI20" s="794"/>
      <c r="CJ20" s="794"/>
      <c r="CK20" s="794"/>
      <c r="CL20" s="794"/>
      <c r="CM20" s="794"/>
      <c r="CN20" s="794"/>
      <c r="CO20" s="794"/>
      <c r="CP20" s="794"/>
      <c r="CQ20" s="794"/>
      <c r="CR20" s="794"/>
      <c r="CS20" s="794"/>
      <c r="CT20" s="794"/>
      <c r="CU20" s="794"/>
      <c r="CV20" s="794"/>
      <c r="CW20" s="794"/>
      <c r="CX20" s="794"/>
      <c r="CY20" s="794"/>
      <c r="CZ20" s="794"/>
      <c r="DA20" s="794"/>
      <c r="DB20" s="794"/>
      <c r="DC20" s="794"/>
      <c r="DD20" s="794"/>
      <c r="DE20" s="794"/>
      <c r="DF20" s="794"/>
      <c r="DG20" s="794"/>
      <c r="DH20" s="794"/>
      <c r="DI20" s="794"/>
      <c r="DJ20" s="794"/>
      <c r="DK20" s="794"/>
      <c r="DL20" s="794"/>
      <c r="DM20" s="794"/>
      <c r="DN20" s="794"/>
      <c r="DO20" s="794"/>
      <c r="DP20" s="794"/>
      <c r="DQ20" s="794"/>
      <c r="DR20" s="794"/>
      <c r="DS20" s="794"/>
      <c r="DT20" s="794"/>
      <c r="DU20" s="794"/>
      <c r="DV20" s="794"/>
      <c r="DW20" s="794"/>
      <c r="DX20" s="794"/>
      <c r="DY20" s="794"/>
      <c r="DZ20" s="794"/>
      <c r="EA20" s="794"/>
      <c r="EB20" s="794"/>
      <c r="EC20" s="794"/>
      <c r="ED20" s="794"/>
      <c r="EE20" s="794"/>
      <c r="EF20" s="794"/>
      <c r="EG20" s="794"/>
      <c r="EH20" s="794"/>
      <c r="EI20" s="794"/>
      <c r="EJ20" s="794"/>
      <c r="EK20" s="794"/>
      <c r="EL20" s="794"/>
      <c r="EM20" s="794"/>
      <c r="EN20" s="794"/>
      <c r="EO20" s="794"/>
      <c r="EP20" s="794"/>
      <c r="EQ20" s="794"/>
      <c r="ER20" s="794"/>
      <c r="ES20" s="794"/>
      <c r="ET20" s="794"/>
      <c r="EU20" s="794"/>
      <c r="EV20" s="794"/>
      <c r="EW20" s="794"/>
      <c r="EX20" s="794"/>
      <c r="EY20" s="794"/>
      <c r="EZ20" s="794"/>
      <c r="FA20" s="794"/>
      <c r="FB20" s="794"/>
      <c r="FC20" s="794"/>
      <c r="FD20" s="794"/>
      <c r="FE20" s="794"/>
      <c r="FF20" s="794"/>
      <c r="FG20" s="794"/>
      <c r="FH20" s="794"/>
      <c r="FI20" s="794"/>
      <c r="FJ20" s="794"/>
      <c r="FK20" s="794"/>
      <c r="FL20" s="794"/>
      <c r="FM20" s="794"/>
      <c r="FN20" s="794"/>
      <c r="FO20" s="794"/>
      <c r="FP20" s="794"/>
      <c r="FQ20" s="794"/>
      <c r="FR20" s="794"/>
      <c r="FS20" s="794"/>
      <c r="FT20" s="794"/>
      <c r="FU20" s="794"/>
      <c r="FV20" s="794"/>
      <c r="FW20" s="794"/>
      <c r="FX20" s="794"/>
      <c r="FY20" s="794"/>
      <c r="FZ20" s="794"/>
      <c r="GA20" s="794"/>
      <c r="GB20" s="794"/>
      <c r="GC20" s="794"/>
      <c r="GD20" s="794"/>
      <c r="GE20" s="794"/>
      <c r="GF20" s="794"/>
      <c r="GG20" s="794"/>
      <c r="GH20" s="794"/>
      <c r="GI20" s="794"/>
      <c r="GJ20" s="794"/>
      <c r="GK20" s="794"/>
      <c r="GL20" s="794"/>
      <c r="GM20" s="794"/>
      <c r="GN20" s="794"/>
      <c r="GO20" s="794"/>
      <c r="GP20" s="794"/>
      <c r="GQ20" s="794"/>
      <c r="GR20" s="794"/>
      <c r="GS20" s="794"/>
      <c r="GT20" s="794"/>
      <c r="GU20" s="794"/>
      <c r="GV20" s="794"/>
      <c r="GW20" s="794"/>
      <c r="GX20" s="794"/>
      <c r="GY20" s="794"/>
      <c r="GZ20" s="794"/>
      <c r="HA20" s="794"/>
      <c r="HB20" s="794"/>
      <c r="HC20" s="794"/>
      <c r="HD20" s="794"/>
      <c r="HE20" s="794"/>
      <c r="HF20" s="794"/>
      <c r="HG20" s="794"/>
      <c r="HH20" s="794"/>
      <c r="HI20" s="794"/>
      <c r="HJ20" s="794"/>
      <c r="HK20" s="794"/>
      <c r="HL20" s="794"/>
      <c r="HM20" s="794"/>
      <c r="HN20" s="794"/>
      <c r="HO20" s="794"/>
      <c r="HP20" s="794"/>
      <c r="HQ20" s="794"/>
      <c r="HR20" s="794"/>
      <c r="HS20" s="794"/>
      <c r="HT20" s="794"/>
      <c r="HU20" s="794"/>
      <c r="HV20" s="794"/>
      <c r="HW20" s="794"/>
      <c r="HX20" s="794"/>
      <c r="HY20" s="794"/>
      <c r="HZ20" s="794"/>
      <c r="IA20" s="794"/>
      <c r="IB20" s="794"/>
      <c r="IC20" s="794"/>
      <c r="ID20" s="794"/>
      <c r="IE20" s="794"/>
      <c r="IF20" s="794"/>
      <c r="IG20" s="794"/>
      <c r="IH20" s="794"/>
      <c r="II20" s="794"/>
      <c r="IJ20" s="794"/>
      <c r="IK20" s="794"/>
      <c r="IL20" s="794"/>
      <c r="IM20" s="794"/>
      <c r="IN20" s="794"/>
      <c r="IO20" s="794"/>
      <c r="IP20" s="794"/>
      <c r="IQ20" s="794"/>
      <c r="IR20" s="794"/>
      <c r="IS20" s="794"/>
      <c r="IT20" s="794"/>
      <c r="IU20" s="794"/>
      <c r="IV20" s="794"/>
      <c r="IW20" s="794"/>
      <c r="IX20" s="794"/>
    </row>
    <row r="21" spans="1:258" ht="21.75" customHeight="1">
      <c r="A21" s="1" t="s">
        <v>15</v>
      </c>
    </row>
    <row r="22" spans="1:258" ht="21" customHeight="1">
      <c r="B22" s="795" t="s">
        <v>16</v>
      </c>
      <c r="C22" s="796"/>
      <c r="D22" s="795" t="s">
        <v>17</v>
      </c>
      <c r="E22" s="796"/>
      <c r="F22" s="437" t="s">
        <v>18</v>
      </c>
      <c r="G22" s="441" t="s">
        <v>19</v>
      </c>
    </row>
    <row r="23" spans="1:258" ht="30" customHeight="1">
      <c r="B23" s="821" t="s">
        <v>20</v>
      </c>
      <c r="C23" s="822"/>
      <c r="D23" s="825" t="s">
        <v>2107</v>
      </c>
      <c r="E23" s="826"/>
      <c r="F23" s="609" t="s">
        <v>21</v>
      </c>
      <c r="G23" s="446" t="s">
        <v>22</v>
      </c>
    </row>
    <row r="24" spans="1:258" ht="30" customHeight="1">
      <c r="B24" s="823"/>
      <c r="C24" s="824"/>
      <c r="D24" s="827"/>
      <c r="E24" s="828"/>
      <c r="F24" s="609" t="s">
        <v>21</v>
      </c>
      <c r="G24" s="446" t="s">
        <v>23</v>
      </c>
    </row>
    <row r="25" spans="1:258" ht="48.75" customHeight="1">
      <c r="B25" s="436"/>
      <c r="C25" s="435" t="s">
        <v>24</v>
      </c>
      <c r="D25" s="817" t="s">
        <v>25</v>
      </c>
      <c r="E25" s="818"/>
      <c r="F25" s="609" t="s">
        <v>2118</v>
      </c>
      <c r="G25" s="446" t="s">
        <v>26</v>
      </c>
    </row>
    <row r="26" spans="1:258" ht="33" customHeight="1">
      <c r="B26" s="434"/>
      <c r="C26" s="58" t="s">
        <v>27</v>
      </c>
      <c r="D26" s="815" t="s">
        <v>28</v>
      </c>
      <c r="E26" s="816"/>
      <c r="F26" s="609" t="s">
        <v>2118</v>
      </c>
      <c r="G26" s="447" t="s">
        <v>29</v>
      </c>
    </row>
    <row r="27" spans="1:258" ht="33" customHeight="1">
      <c r="B27" s="434"/>
      <c r="C27" s="58" t="s">
        <v>30</v>
      </c>
      <c r="D27" s="815" t="s">
        <v>31</v>
      </c>
      <c r="E27" s="816"/>
      <c r="F27" s="609" t="s">
        <v>2118</v>
      </c>
      <c r="G27" s="447" t="s">
        <v>32</v>
      </c>
    </row>
    <row r="28" spans="1:258" ht="33" customHeight="1">
      <c r="A28" s="4"/>
      <c r="B28" s="434"/>
      <c r="C28" s="58" t="s">
        <v>2125</v>
      </c>
      <c r="D28" s="819" t="s">
        <v>33</v>
      </c>
      <c r="E28" s="820"/>
      <c r="F28" s="610" t="s">
        <v>34</v>
      </c>
      <c r="G28" s="447" t="s">
        <v>35</v>
      </c>
    </row>
    <row r="29" spans="1:258" ht="33" customHeight="1">
      <c r="A29" s="4"/>
      <c r="B29" s="434"/>
      <c r="C29" s="58" t="s">
        <v>36</v>
      </c>
      <c r="D29" s="797" t="s">
        <v>37</v>
      </c>
      <c r="E29" s="798"/>
      <c r="F29" s="610" t="s">
        <v>34</v>
      </c>
      <c r="G29" s="448" t="s">
        <v>38</v>
      </c>
    </row>
    <row r="30" spans="1:258" ht="33" customHeight="1">
      <c r="A30" s="4"/>
      <c r="B30" s="434"/>
      <c r="C30" s="58" t="s">
        <v>39</v>
      </c>
      <c r="D30" s="797" t="s">
        <v>40</v>
      </c>
      <c r="E30" s="798"/>
      <c r="F30" s="610" t="s">
        <v>34</v>
      </c>
      <c r="G30" s="447" t="s">
        <v>41</v>
      </c>
    </row>
    <row r="31" spans="1:258" ht="33" customHeight="1">
      <c r="A31" s="4"/>
      <c r="B31" s="434"/>
      <c r="C31" s="58" t="s">
        <v>42</v>
      </c>
      <c r="D31" s="797" t="s">
        <v>43</v>
      </c>
      <c r="E31" s="798"/>
      <c r="F31" s="610" t="s">
        <v>34</v>
      </c>
      <c r="G31" s="447" t="s">
        <v>44</v>
      </c>
    </row>
    <row r="32" spans="1:258" ht="33" customHeight="1">
      <c r="A32" s="4"/>
      <c r="B32" s="434"/>
      <c r="C32" s="58" t="s">
        <v>45</v>
      </c>
      <c r="D32" s="797" t="s">
        <v>46</v>
      </c>
      <c r="E32" s="798"/>
      <c r="F32" s="610" t="s">
        <v>34</v>
      </c>
      <c r="G32" s="447" t="s">
        <v>47</v>
      </c>
    </row>
    <row r="33" spans="1:258" ht="33" customHeight="1">
      <c r="A33" s="4"/>
      <c r="B33" s="434"/>
      <c r="C33" s="58" t="s">
        <v>48</v>
      </c>
      <c r="D33" s="797" t="s">
        <v>49</v>
      </c>
      <c r="E33" s="798"/>
      <c r="F33" s="610" t="s">
        <v>50</v>
      </c>
      <c r="G33" s="447" t="s">
        <v>51</v>
      </c>
    </row>
    <row r="34" spans="1:258" ht="33" customHeight="1">
      <c r="A34" s="4"/>
      <c r="B34" s="434"/>
      <c r="C34" s="58" t="s">
        <v>52</v>
      </c>
      <c r="D34" s="797" t="s">
        <v>53</v>
      </c>
      <c r="E34" s="798"/>
      <c r="F34" s="610" t="s">
        <v>50</v>
      </c>
      <c r="G34" s="447" t="s">
        <v>54</v>
      </c>
    </row>
    <row r="35" spans="1:258" ht="71.25">
      <c r="A35" s="4"/>
      <c r="B35" s="434"/>
      <c r="C35" s="58" t="s">
        <v>55</v>
      </c>
      <c r="D35" s="797" t="s">
        <v>56</v>
      </c>
      <c r="E35" s="798"/>
      <c r="F35" s="610" t="s">
        <v>2119</v>
      </c>
      <c r="G35" s="447" t="s">
        <v>57</v>
      </c>
    </row>
    <row r="36" spans="1:258" ht="33" customHeight="1">
      <c r="A36" s="4"/>
      <c r="B36" s="434"/>
      <c r="C36" s="58" t="s">
        <v>58</v>
      </c>
      <c r="D36" s="799" t="s">
        <v>59</v>
      </c>
      <c r="E36" s="800"/>
      <c r="F36" s="610" t="s">
        <v>34</v>
      </c>
      <c r="G36" s="447" t="s">
        <v>60</v>
      </c>
    </row>
    <row r="37" spans="1:258" ht="33" customHeight="1">
      <c r="A37" s="4"/>
      <c r="B37" s="358"/>
      <c r="C37" s="58" t="s">
        <v>61</v>
      </c>
      <c r="D37" s="799" t="s">
        <v>62</v>
      </c>
      <c r="E37" s="800"/>
      <c r="F37" s="609" t="s">
        <v>50</v>
      </c>
      <c r="G37" s="447" t="s">
        <v>63</v>
      </c>
    </row>
    <row r="38" spans="1:258" ht="10.15" customHeight="1">
      <c r="A38" s="4"/>
      <c r="B38" s="59"/>
      <c r="C38" s="59"/>
      <c r="D38" s="59"/>
      <c r="E38" s="59"/>
      <c r="F38" s="59"/>
      <c r="G38" s="60"/>
    </row>
    <row r="39" spans="1:258" ht="15.6" customHeight="1">
      <c r="A39" s="1" t="s">
        <v>64</v>
      </c>
    </row>
    <row r="40" spans="1:258" ht="21" customHeight="1">
      <c r="B40" s="795" t="s">
        <v>65</v>
      </c>
      <c r="C40" s="796"/>
      <c r="D40" s="795" t="s">
        <v>17</v>
      </c>
      <c r="E40" s="796"/>
      <c r="F40" s="437" t="s">
        <v>18</v>
      </c>
      <c r="G40" s="441" t="s">
        <v>19</v>
      </c>
    </row>
    <row r="41" spans="1:258" ht="34.5" customHeight="1">
      <c r="A41" s="4"/>
      <c r="B41" s="438"/>
      <c r="C41" s="810" t="s">
        <v>66</v>
      </c>
      <c r="D41" s="797" t="s">
        <v>67</v>
      </c>
      <c r="E41" s="798"/>
      <c r="F41" s="610" t="s">
        <v>34</v>
      </c>
      <c r="G41" s="449" t="s">
        <v>68</v>
      </c>
    </row>
    <row r="42" spans="1:258" ht="30" customHeight="1">
      <c r="A42" s="4"/>
      <c r="B42" s="439"/>
      <c r="C42" s="811"/>
      <c r="D42" s="804" t="s">
        <v>69</v>
      </c>
      <c r="E42" s="805"/>
      <c r="F42" s="609" t="s">
        <v>71</v>
      </c>
      <c r="G42" s="450" t="s">
        <v>70</v>
      </c>
    </row>
    <row r="43" spans="1:258" ht="30" customHeight="1">
      <c r="A43" s="4"/>
      <c r="B43" s="439"/>
      <c r="C43" s="811"/>
      <c r="D43" s="806"/>
      <c r="E43" s="807"/>
      <c r="F43" s="609" t="s">
        <v>71</v>
      </c>
      <c r="G43" s="450" t="s">
        <v>72</v>
      </c>
    </row>
    <row r="44" spans="1:258" ht="30" customHeight="1">
      <c r="A44" s="4"/>
      <c r="B44" s="439"/>
      <c r="C44" s="811"/>
      <c r="D44" s="806"/>
      <c r="E44" s="807"/>
      <c r="F44" s="609" t="s">
        <v>71</v>
      </c>
      <c r="G44" s="450" t="s">
        <v>73</v>
      </c>
    </row>
    <row r="45" spans="1:258" ht="30" customHeight="1">
      <c r="A45" s="4"/>
      <c r="B45" s="440"/>
      <c r="C45" s="812"/>
      <c r="D45" s="808"/>
      <c r="E45" s="809"/>
      <c r="F45" s="609" t="s">
        <v>71</v>
      </c>
      <c r="G45" s="450" t="s">
        <v>74</v>
      </c>
    </row>
    <row r="46" spans="1:258" ht="28.5" customHeight="1">
      <c r="A46" s="1" t="s">
        <v>75</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795" t="s">
        <v>65</v>
      </c>
      <c r="C47" s="796"/>
      <c r="D47" s="795" t="s">
        <v>17</v>
      </c>
      <c r="E47" s="796"/>
      <c r="F47" s="437" t="s">
        <v>18</v>
      </c>
      <c r="G47" s="441" t="s">
        <v>19</v>
      </c>
    </row>
    <row r="48" spans="1:258" ht="34.5" customHeight="1">
      <c r="A48" s="4"/>
      <c r="B48" s="835" t="s">
        <v>76</v>
      </c>
      <c r="C48" s="836"/>
      <c r="D48" s="797" t="s">
        <v>77</v>
      </c>
      <c r="E48" s="798"/>
      <c r="F48" s="612" t="s">
        <v>78</v>
      </c>
      <c r="G48" s="450" t="s">
        <v>79</v>
      </c>
    </row>
    <row r="49" spans="1:258" ht="34.5" customHeight="1">
      <c r="A49" s="4"/>
      <c r="B49" s="835" t="s">
        <v>80</v>
      </c>
      <c r="C49" s="836"/>
      <c r="D49" s="797" t="s">
        <v>81</v>
      </c>
      <c r="E49" s="798"/>
      <c r="F49" s="612" t="s">
        <v>78</v>
      </c>
      <c r="G49" s="450" t="s">
        <v>82</v>
      </c>
    </row>
    <row r="50" spans="1:258" ht="34.5" customHeight="1">
      <c r="A50" s="4"/>
      <c r="B50" s="835" t="s">
        <v>83</v>
      </c>
      <c r="C50" s="836"/>
      <c r="D50" s="797" t="s">
        <v>84</v>
      </c>
      <c r="E50" s="798"/>
      <c r="F50" s="612" t="s">
        <v>78</v>
      </c>
      <c r="G50" s="450" t="s">
        <v>85</v>
      </c>
    </row>
    <row r="51" spans="1:258">
      <c r="A51" s="777"/>
      <c r="B51" s="835" t="s">
        <v>2102</v>
      </c>
      <c r="C51" s="836"/>
      <c r="D51" s="797" t="s">
        <v>2103</v>
      </c>
      <c r="E51" s="798"/>
      <c r="F51" s="779"/>
      <c r="G51" s="450" t="s">
        <v>2104</v>
      </c>
    </row>
    <row r="52" spans="1:258" ht="42.75" customHeight="1">
      <c r="A52" s="4"/>
      <c r="B52" s="835" t="s">
        <v>86</v>
      </c>
      <c r="C52" s="836"/>
      <c r="D52" s="841" t="s">
        <v>87</v>
      </c>
      <c r="E52" s="800"/>
      <c r="F52" s="612" t="s">
        <v>78</v>
      </c>
      <c r="G52" s="450" t="s">
        <v>88</v>
      </c>
    </row>
    <row r="53" spans="1:258" ht="7.9" customHeight="1"/>
    <row r="54" spans="1:258" ht="11.25" customHeight="1">
      <c r="A54" s="14"/>
      <c r="B54" s="14"/>
      <c r="C54" s="15"/>
      <c r="D54" s="14"/>
      <c r="E54" s="14"/>
      <c r="F54" s="14"/>
      <c r="G54" s="14"/>
      <c r="H54" s="15"/>
      <c r="J54" s="794"/>
      <c r="K54" s="794"/>
      <c r="L54" s="794"/>
      <c r="M54" s="794"/>
      <c r="N54" s="794"/>
      <c r="O54" s="794"/>
      <c r="P54" s="794"/>
      <c r="Q54" s="794"/>
      <c r="R54" s="794"/>
      <c r="S54" s="794"/>
      <c r="T54" s="794"/>
      <c r="U54" s="794"/>
      <c r="V54" s="794"/>
      <c r="W54" s="794"/>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4"/>
      <c r="BI54" s="794"/>
      <c r="BJ54" s="794"/>
      <c r="BK54" s="794"/>
      <c r="BL54" s="794"/>
      <c r="BM54" s="794"/>
      <c r="BN54" s="794"/>
      <c r="BO54" s="794"/>
      <c r="BP54" s="794"/>
      <c r="BQ54" s="794"/>
      <c r="BR54" s="794"/>
      <c r="BS54" s="794"/>
      <c r="BT54" s="794"/>
      <c r="BU54" s="794"/>
      <c r="BV54" s="794"/>
      <c r="BW54" s="794"/>
      <c r="BX54" s="794"/>
      <c r="BY54" s="794"/>
      <c r="BZ54" s="794"/>
      <c r="CA54" s="794"/>
      <c r="CB54" s="794"/>
      <c r="CC54" s="794"/>
      <c r="CD54" s="794"/>
      <c r="CE54" s="794"/>
      <c r="CF54" s="794"/>
      <c r="CG54" s="794"/>
      <c r="CH54" s="794"/>
      <c r="CI54" s="794"/>
      <c r="CJ54" s="794"/>
      <c r="CK54" s="794"/>
      <c r="CL54" s="794"/>
      <c r="CM54" s="794"/>
      <c r="CN54" s="794"/>
      <c r="CO54" s="794"/>
      <c r="CP54" s="794"/>
      <c r="CQ54" s="794"/>
      <c r="CR54" s="794"/>
      <c r="CS54" s="794"/>
      <c r="CT54" s="794"/>
      <c r="CU54" s="794"/>
      <c r="CV54" s="794"/>
      <c r="CW54" s="794"/>
      <c r="CX54" s="794"/>
      <c r="CY54" s="794"/>
      <c r="CZ54" s="794"/>
      <c r="DA54" s="794"/>
      <c r="DB54" s="794"/>
      <c r="DC54" s="794"/>
      <c r="DD54" s="794"/>
      <c r="DE54" s="794"/>
      <c r="DF54" s="794"/>
      <c r="DG54" s="794"/>
      <c r="DH54" s="794"/>
      <c r="DI54" s="794"/>
      <c r="DJ54" s="794"/>
      <c r="DK54" s="794"/>
      <c r="DL54" s="794"/>
      <c r="DM54" s="794"/>
      <c r="DN54" s="794"/>
      <c r="DO54" s="794"/>
      <c r="DP54" s="794"/>
      <c r="DQ54" s="794"/>
      <c r="DR54" s="794"/>
      <c r="DS54" s="794"/>
      <c r="DT54" s="794"/>
      <c r="DU54" s="794"/>
      <c r="DV54" s="794"/>
      <c r="DW54" s="794"/>
      <c r="DX54" s="794"/>
      <c r="DY54" s="794"/>
      <c r="DZ54" s="794"/>
      <c r="EA54" s="794"/>
      <c r="EB54" s="794"/>
      <c r="EC54" s="794"/>
      <c r="ED54" s="794"/>
      <c r="EE54" s="794"/>
      <c r="EF54" s="794"/>
      <c r="EG54" s="794"/>
      <c r="EH54" s="794"/>
      <c r="EI54" s="794"/>
      <c r="EJ54" s="794"/>
      <c r="EK54" s="794"/>
      <c r="EL54" s="794"/>
      <c r="EM54" s="794"/>
      <c r="EN54" s="794"/>
      <c r="EO54" s="794"/>
      <c r="EP54" s="794"/>
      <c r="EQ54" s="794"/>
      <c r="ER54" s="794"/>
      <c r="ES54" s="794"/>
      <c r="ET54" s="794"/>
      <c r="EU54" s="794"/>
      <c r="EV54" s="794"/>
      <c r="EW54" s="794"/>
      <c r="EX54" s="794"/>
      <c r="EY54" s="794"/>
      <c r="EZ54" s="794"/>
      <c r="FA54" s="794"/>
      <c r="FB54" s="794"/>
      <c r="FC54" s="794"/>
      <c r="FD54" s="794"/>
      <c r="FE54" s="794"/>
      <c r="FF54" s="794"/>
      <c r="FG54" s="794"/>
      <c r="FH54" s="794"/>
      <c r="FI54" s="794"/>
      <c r="FJ54" s="794"/>
      <c r="FK54" s="794"/>
      <c r="FL54" s="794"/>
      <c r="FM54" s="794"/>
      <c r="FN54" s="794"/>
      <c r="FO54" s="794"/>
      <c r="FP54" s="794"/>
      <c r="FQ54" s="794"/>
      <c r="FR54" s="794"/>
      <c r="FS54" s="794"/>
      <c r="FT54" s="794"/>
      <c r="FU54" s="794"/>
      <c r="FV54" s="794"/>
      <c r="FW54" s="794"/>
      <c r="FX54" s="794"/>
      <c r="FY54" s="794"/>
      <c r="FZ54" s="794"/>
      <c r="GA54" s="794"/>
      <c r="GB54" s="794"/>
      <c r="GC54" s="794"/>
      <c r="GD54" s="794"/>
      <c r="GE54" s="794"/>
      <c r="GF54" s="794"/>
      <c r="GG54" s="794"/>
      <c r="GH54" s="794"/>
      <c r="GI54" s="794"/>
      <c r="GJ54" s="794"/>
      <c r="GK54" s="794"/>
      <c r="GL54" s="794"/>
      <c r="GM54" s="794"/>
      <c r="GN54" s="794"/>
      <c r="GO54" s="794"/>
      <c r="GP54" s="794"/>
      <c r="GQ54" s="794"/>
      <c r="GR54" s="794"/>
      <c r="GS54" s="794"/>
      <c r="GT54" s="794"/>
      <c r="GU54" s="794"/>
      <c r="GV54" s="794"/>
      <c r="GW54" s="794"/>
      <c r="GX54" s="794"/>
      <c r="GY54" s="794"/>
      <c r="GZ54" s="794"/>
      <c r="HA54" s="794"/>
      <c r="HB54" s="794"/>
      <c r="HC54" s="794"/>
      <c r="HD54" s="794"/>
      <c r="HE54" s="794"/>
      <c r="HF54" s="794"/>
      <c r="HG54" s="794"/>
      <c r="HH54" s="794"/>
      <c r="HI54" s="794"/>
      <c r="HJ54" s="794"/>
      <c r="HK54" s="794"/>
      <c r="HL54" s="794"/>
      <c r="HM54" s="794"/>
      <c r="HN54" s="794"/>
      <c r="HO54" s="794"/>
      <c r="HP54" s="794"/>
      <c r="HQ54" s="794"/>
      <c r="HR54" s="794"/>
      <c r="HS54" s="794"/>
      <c r="HT54" s="794"/>
      <c r="HU54" s="794"/>
      <c r="HV54" s="794"/>
      <c r="HW54" s="794"/>
      <c r="HX54" s="794"/>
      <c r="HY54" s="794"/>
      <c r="HZ54" s="794"/>
      <c r="IA54" s="794"/>
      <c r="IB54" s="794"/>
      <c r="IC54" s="794"/>
      <c r="ID54" s="794"/>
      <c r="IE54" s="794"/>
      <c r="IF54" s="794"/>
      <c r="IG54" s="794"/>
      <c r="IH54" s="794"/>
      <c r="II54" s="794"/>
      <c r="IJ54" s="794"/>
      <c r="IK54" s="794"/>
      <c r="IL54" s="794"/>
      <c r="IM54" s="794"/>
      <c r="IN54" s="794"/>
      <c r="IO54" s="794"/>
      <c r="IP54" s="794"/>
      <c r="IQ54" s="794"/>
      <c r="IR54" s="794"/>
      <c r="IS54" s="794"/>
      <c r="IT54" s="794"/>
      <c r="IU54" s="794"/>
      <c r="IV54" s="794"/>
      <c r="IW54" s="794"/>
    </row>
    <row r="55" spans="1:258" ht="28.5" customHeight="1">
      <c r="A55" s="1" t="s">
        <v>89</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ht="19.5" customHeight="1">
      <c r="B56" s="839" t="s">
        <v>65</v>
      </c>
      <c r="C56" s="840"/>
      <c r="D56" s="839" t="s">
        <v>90</v>
      </c>
      <c r="E56" s="840"/>
      <c r="F56" s="437" t="s">
        <v>18</v>
      </c>
      <c r="G56" s="441" t="s">
        <v>19</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ht="18.75" customHeight="1">
      <c r="B57" s="837"/>
      <c r="C57" s="838"/>
      <c r="D57" s="797" t="s">
        <v>91</v>
      </c>
      <c r="E57" s="798"/>
      <c r="F57" s="189"/>
      <c r="G57" s="451" t="s">
        <v>92</v>
      </c>
      <c r="H57" s="439"/>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sheetData>
  <mergeCells count="387">
    <mergeCell ref="B52:C52"/>
    <mergeCell ref="D52:E52"/>
    <mergeCell ref="IL54:IN54"/>
    <mergeCell ref="IO54:IQ54"/>
    <mergeCell ref="GJ54:GL54"/>
    <mergeCell ref="GM54:GO54"/>
    <mergeCell ref="GP54:GR54"/>
    <mergeCell ref="GS54:GU54"/>
    <mergeCell ref="GV54:GX54"/>
    <mergeCell ref="GY54:HA54"/>
    <mergeCell ref="HB54:HD54"/>
    <mergeCell ref="HE54:HG54"/>
    <mergeCell ref="HH54:HJ54"/>
    <mergeCell ref="FI54:FK54"/>
    <mergeCell ref="FL54:FN54"/>
    <mergeCell ref="FO54:FQ54"/>
    <mergeCell ref="FR54:FT54"/>
    <mergeCell ref="FU54:FW54"/>
    <mergeCell ref="FX54:FZ54"/>
    <mergeCell ref="FF54:FH54"/>
    <mergeCell ref="DG54:DI54"/>
    <mergeCell ref="DJ54:DL54"/>
    <mergeCell ref="DM54:DO54"/>
    <mergeCell ref="DP54:DR54"/>
    <mergeCell ref="B51:C51"/>
    <mergeCell ref="D51:E51"/>
    <mergeCell ref="IR54:IT54"/>
    <mergeCell ref="IU54:IW54"/>
    <mergeCell ref="HK54:HM54"/>
    <mergeCell ref="HN54:HP54"/>
    <mergeCell ref="HQ54:HS54"/>
    <mergeCell ref="HT54:HV54"/>
    <mergeCell ref="HW54:HY54"/>
    <mergeCell ref="HZ54:IB54"/>
    <mergeCell ref="IC54:IE54"/>
    <mergeCell ref="IF54:IH54"/>
    <mergeCell ref="II54:IK54"/>
    <mergeCell ref="GA54:GC54"/>
    <mergeCell ref="GD54:GF54"/>
    <mergeCell ref="GG54:GI54"/>
    <mergeCell ref="EH54:EJ54"/>
    <mergeCell ref="EK54:EM54"/>
    <mergeCell ref="EN54:EP54"/>
    <mergeCell ref="EQ54:ES54"/>
    <mergeCell ref="ET54:EV54"/>
    <mergeCell ref="EW54:EY54"/>
    <mergeCell ref="EZ54:FB54"/>
    <mergeCell ref="FC54:FE54"/>
    <mergeCell ref="DS54:DU54"/>
    <mergeCell ref="DV54:DX54"/>
    <mergeCell ref="DY54:EA54"/>
    <mergeCell ref="EB54:ED54"/>
    <mergeCell ref="EE54:EG54"/>
    <mergeCell ref="CF54:CH54"/>
    <mergeCell ref="CI54:CK54"/>
    <mergeCell ref="CL54:CN54"/>
    <mergeCell ref="CO54:CQ54"/>
    <mergeCell ref="CR54:CT54"/>
    <mergeCell ref="CU54:CW54"/>
    <mergeCell ref="CX54:CZ54"/>
    <mergeCell ref="DA54:DC54"/>
    <mergeCell ref="DD54:DF54"/>
    <mergeCell ref="BE54:BG54"/>
    <mergeCell ref="BH54:BJ54"/>
    <mergeCell ref="BK54:BM54"/>
    <mergeCell ref="BN54:BP54"/>
    <mergeCell ref="BQ54:BS54"/>
    <mergeCell ref="BT54:BV54"/>
    <mergeCell ref="BW54:BY54"/>
    <mergeCell ref="BZ54:CB54"/>
    <mergeCell ref="CC54:CE54"/>
    <mergeCell ref="AD54:AF54"/>
    <mergeCell ref="AG54:AI54"/>
    <mergeCell ref="AJ54:AL54"/>
    <mergeCell ref="AM54:AO54"/>
    <mergeCell ref="AP54:AR54"/>
    <mergeCell ref="AS54:AU54"/>
    <mergeCell ref="AV54:AX54"/>
    <mergeCell ref="AY54:BA54"/>
    <mergeCell ref="BB54:BD54"/>
    <mergeCell ref="B57:C57"/>
    <mergeCell ref="D57:E57"/>
    <mergeCell ref="J54:K54"/>
    <mergeCell ref="L54:N54"/>
    <mergeCell ref="O54:Q54"/>
    <mergeCell ref="R54:T54"/>
    <mergeCell ref="U54:W54"/>
    <mergeCell ref="X54:Z54"/>
    <mergeCell ref="AA54:AC54"/>
    <mergeCell ref="B56:C56"/>
    <mergeCell ref="D56:E56"/>
    <mergeCell ref="B47:C47"/>
    <mergeCell ref="D47:E47"/>
    <mergeCell ref="B48:C48"/>
    <mergeCell ref="B49:C49"/>
    <mergeCell ref="B50:C50"/>
    <mergeCell ref="D48:E48"/>
    <mergeCell ref="D49:E49"/>
    <mergeCell ref="D50:E50"/>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7:G7"/>
    <mergeCell ref="B11:G11"/>
    <mergeCell ref="B10:G10"/>
    <mergeCell ref="B17:G17"/>
    <mergeCell ref="B40:C40"/>
    <mergeCell ref="B16:G16"/>
    <mergeCell ref="D30:E30"/>
    <mergeCell ref="D31:E31"/>
    <mergeCell ref="D32:E32"/>
    <mergeCell ref="D34:E34"/>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5:E35"/>
    <mergeCell ref="D37:E37"/>
    <mergeCell ref="B13:G13"/>
    <mergeCell ref="B15:G15"/>
    <mergeCell ref="J15:K15"/>
    <mergeCell ref="L15:N15"/>
    <mergeCell ref="O15:Q15"/>
    <mergeCell ref="B14:G14"/>
    <mergeCell ref="L20:N20"/>
    <mergeCell ref="O20:Q20"/>
    <mergeCell ref="D33:E33"/>
    <mergeCell ref="D36:E36"/>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EW15:EY15"/>
    <mergeCell ref="FU15:FW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DA17:DC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CU20:CW20"/>
    <mergeCell ref="CX20:CZ20"/>
    <mergeCell ref="DA20:DC20"/>
    <mergeCell ref="DD20:DF20"/>
    <mergeCell ref="DG20:DI20"/>
    <mergeCell ref="DJ20:DL20"/>
    <mergeCell ref="DM20:DO20"/>
    <mergeCell ref="EZ20:FB20"/>
    <mergeCell ref="EE17:EG17"/>
    <mergeCell ref="BN17:BP17"/>
    <mergeCell ref="BQ17:BS17"/>
    <mergeCell ref="BT17:BV17"/>
    <mergeCell ref="HH20:HJ20"/>
    <mergeCell ref="ET20:EV20"/>
    <mergeCell ref="EW20:EY20"/>
    <mergeCell ref="EK20:EM20"/>
    <mergeCell ref="EN20:EP20"/>
    <mergeCell ref="BN20:BP20"/>
    <mergeCell ref="BQ20:BS20"/>
    <mergeCell ref="BT20:BV20"/>
    <mergeCell ref="EH17:EJ17"/>
    <mergeCell ref="EK17:EM17"/>
    <mergeCell ref="EN17:EP17"/>
    <mergeCell ref="EQ17:ES17"/>
    <mergeCell ref="ET17:EV17"/>
    <mergeCell ref="EW17:EY17"/>
    <mergeCell ref="EZ17:FB17"/>
    <mergeCell ref="DG17:DI17"/>
    <mergeCell ref="DJ17:DL17"/>
    <mergeCell ref="DM17:DO17"/>
    <mergeCell ref="DP17:DR17"/>
    <mergeCell ref="DS17:DU17"/>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5:G5"/>
    <mergeCell ref="E6:G6"/>
    <mergeCell ref="K9:M9"/>
    <mergeCell ref="BK20:BM20"/>
    <mergeCell ref="B22:C22"/>
    <mergeCell ref="DP20:DR20"/>
    <mergeCell ref="DS20:DU20"/>
    <mergeCell ref="DV20:DX20"/>
    <mergeCell ref="DY20:EA20"/>
    <mergeCell ref="DV17:DX17"/>
    <mergeCell ref="DY17:EA17"/>
    <mergeCell ref="DD17:DF17"/>
    <mergeCell ref="AJ15:AL15"/>
    <mergeCell ref="AM15:AO15"/>
    <mergeCell ref="CU15:CW15"/>
    <mergeCell ref="CX15:CZ15"/>
    <mergeCell ref="BQ15:BS15"/>
    <mergeCell ref="BT15:BV15"/>
    <mergeCell ref="AD15:AF15"/>
    <mergeCell ref="CC17:CE17"/>
    <mergeCell ref="CF17:CH17"/>
    <mergeCell ref="CI17:CK17"/>
    <mergeCell ref="CL17:CN17"/>
    <mergeCell ref="CO17:CQ17"/>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2!A1" display="参12"/>
    <hyperlink ref="G49" location="参13!A1" display="参13"/>
    <hyperlink ref="G50" location="参14!A1" display="参14"/>
    <hyperlink ref="G52" location="支出に係る届出!A1" display="支出に係る届出"/>
    <hyperlink ref="G57" location="'実施状況報告（様式2）'!A1" display="実施状況報告（様式2）"/>
    <hyperlink ref="G36" location="別紙８!A1" display="別紙８"/>
    <hyperlink ref="G37" location="別紙９!A1" display="別紙９"/>
    <hyperlink ref="G33" location="別紙６!A1" display="別紙６"/>
    <hyperlink ref="G51" location="'活動記録（参考） '!A1" display="活動記録（参考）"/>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3"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C69"/>
  <sheetViews>
    <sheetView showGridLines="0" tabSelected="1" view="pageBreakPreview" zoomScale="85" zoomScaleNormal="80" zoomScaleSheetLayoutView="85" workbookViewId="0"/>
  </sheetViews>
  <sheetFormatPr defaultRowHeight="18.75"/>
  <cols>
    <col min="1" max="1" width="10.375" style="146" customWidth="1"/>
    <col min="2" max="2" width="14.375" style="146" customWidth="1"/>
    <col min="3" max="3" width="7.625" style="146" customWidth="1"/>
    <col min="4" max="4" width="16.375" style="146" customWidth="1"/>
    <col min="5" max="5" width="7.375" style="146" customWidth="1"/>
    <col min="6" max="7" width="10.375" style="146" customWidth="1"/>
    <col min="8" max="8" width="11.125" style="146" customWidth="1"/>
    <col min="9" max="9" width="7.75" style="146" customWidth="1"/>
    <col min="10" max="10" width="8.25" style="146" customWidth="1"/>
    <col min="11" max="11" width="7.5" style="146" bestFit="1" customWidth="1"/>
    <col min="12" max="16" width="4.25" style="146" customWidth="1"/>
    <col min="17" max="18" width="13.875" style="146" customWidth="1"/>
    <col min="19" max="19" width="11.75" style="146" customWidth="1"/>
    <col min="20" max="20" width="12.75" style="146" customWidth="1"/>
    <col min="21" max="21" width="3.375" style="146" customWidth="1"/>
    <col min="22" max="22" width="11.25" style="147" customWidth="1"/>
  </cols>
  <sheetData>
    <row r="1" spans="1:29" ht="22.15" customHeight="1">
      <c r="A1" s="12"/>
      <c r="B1"/>
      <c r="C1"/>
      <c r="D1"/>
      <c r="E1"/>
      <c r="F1"/>
      <c r="G1"/>
      <c r="H1"/>
      <c r="I1"/>
      <c r="J1"/>
      <c r="K1"/>
      <c r="L1"/>
      <c r="M1"/>
      <c r="N1"/>
      <c r="O1"/>
      <c r="P1"/>
      <c r="Q1"/>
      <c r="R1"/>
      <c r="S1"/>
      <c r="T1" s="12" t="s">
        <v>93</v>
      </c>
      <c r="U1"/>
      <c r="V1" s="149"/>
    </row>
    <row r="2" spans="1:29" s="12" customFormat="1" ht="23.45" customHeight="1">
      <c r="A2" s="842" t="s">
        <v>37</v>
      </c>
      <c r="B2" s="842"/>
      <c r="C2" s="842"/>
      <c r="D2" s="842"/>
      <c r="E2" s="842"/>
      <c r="F2" s="842"/>
      <c r="G2" s="842"/>
      <c r="H2" s="842"/>
      <c r="I2" s="842"/>
      <c r="J2" s="842"/>
      <c r="K2" s="842"/>
      <c r="L2" s="842"/>
      <c r="M2" s="842"/>
      <c r="N2" s="842"/>
      <c r="O2" s="842"/>
      <c r="P2" s="842"/>
      <c r="Q2" s="842"/>
      <c r="R2" s="842"/>
      <c r="S2" s="842"/>
      <c r="T2" s="842"/>
      <c r="V2" s="149"/>
    </row>
    <row r="3" spans="1:29" s="12" customFormat="1" ht="23.45" customHeight="1">
      <c r="A3" s="62" t="s">
        <v>94</v>
      </c>
      <c r="C3" s="62"/>
      <c r="V3" s="149"/>
    </row>
    <row r="4" spans="1:29" s="12" customFormat="1" ht="40.5" customHeight="1">
      <c r="A4" s="852" t="s">
        <v>95</v>
      </c>
      <c r="B4" s="852"/>
      <c r="C4" s="852"/>
      <c r="D4" s="852"/>
      <c r="E4" s="852"/>
      <c r="F4" s="852"/>
      <c r="G4" s="852"/>
      <c r="H4" s="852"/>
      <c r="I4" s="852"/>
      <c r="J4" s="852"/>
      <c r="K4" s="852"/>
      <c r="L4" s="852"/>
      <c r="M4" s="852"/>
      <c r="N4" s="852"/>
      <c r="O4" s="852"/>
      <c r="P4" s="852"/>
      <c r="Q4" s="852"/>
      <c r="R4" s="852"/>
      <c r="S4" s="852"/>
      <c r="T4" s="852"/>
      <c r="V4" s="149"/>
    </row>
    <row r="5" spans="1:29" s="12" customFormat="1" ht="23.45" hidden="1" customHeight="1">
      <c r="A5" s="62"/>
      <c r="C5" s="62"/>
      <c r="E5" s="62"/>
      <c r="F5" s="64"/>
      <c r="G5" s="64"/>
      <c r="H5" s="150"/>
      <c r="V5" s="151" t="s">
        <v>96</v>
      </c>
    </row>
    <row r="6" spans="1:29" s="12" customFormat="1" ht="18.600000000000001" hidden="1" customHeight="1">
      <c r="A6" s="62"/>
      <c r="C6" s="882" t="s">
        <v>97</v>
      </c>
      <c r="D6" s="883"/>
      <c r="F6" s="884" t="s">
        <v>98</v>
      </c>
      <c r="G6" s="621"/>
      <c r="H6" s="886" t="str">
        <f>IF(T14="", "",T14)</f>
        <v/>
      </c>
      <c r="V6" s="149"/>
    </row>
    <row r="7" spans="1:29" s="12" customFormat="1" ht="18.600000000000001" hidden="1" customHeight="1">
      <c r="A7" s="62"/>
      <c r="C7" s="882" t="s">
        <v>99</v>
      </c>
      <c r="D7" s="883"/>
      <c r="F7" s="885"/>
      <c r="G7" s="622"/>
      <c r="H7" s="887"/>
      <c r="V7" s="149"/>
    </row>
    <row r="8" spans="1:29" s="12" customFormat="1" ht="18.600000000000001" hidden="1" customHeight="1">
      <c r="A8" s="62"/>
      <c r="C8" s="882" t="s">
        <v>100</v>
      </c>
      <c r="D8" s="883"/>
      <c r="F8" s="884" t="s">
        <v>101</v>
      </c>
      <c r="G8" s="614"/>
      <c r="H8" s="891" t="str">
        <f>IF(T15="", "",T15)</f>
        <v/>
      </c>
      <c r="V8" s="149"/>
    </row>
    <row r="9" spans="1:29" s="12" customFormat="1" ht="18.600000000000001" hidden="1" customHeight="1">
      <c r="A9" s="62"/>
      <c r="C9" s="882" t="s">
        <v>102</v>
      </c>
      <c r="D9" s="883"/>
      <c r="F9" s="885"/>
      <c r="G9" s="615"/>
      <c r="H9" s="892"/>
      <c r="V9" s="149"/>
    </row>
    <row r="10" spans="1:29" s="12" customFormat="1" ht="18.600000000000001" hidden="1" customHeight="1">
      <c r="A10" s="62"/>
      <c r="C10" s="882" t="s">
        <v>103</v>
      </c>
      <c r="D10" s="883"/>
      <c r="V10" s="149"/>
    </row>
    <row r="11" spans="1:29" s="64" customFormat="1" ht="8.4499999999999993" customHeight="1" thickBot="1">
      <c r="A11" s="150"/>
      <c r="C11" s="150"/>
      <c r="V11" s="151"/>
    </row>
    <row r="12" spans="1:29" s="64" customFormat="1" ht="13.5" customHeight="1">
      <c r="A12" s="843" t="s">
        <v>104</v>
      </c>
      <c r="B12" s="844"/>
      <c r="C12" s="844"/>
      <c r="D12" s="844"/>
      <c r="E12" s="844"/>
      <c r="F12" s="844"/>
      <c r="G12" s="844"/>
      <c r="H12" s="844"/>
      <c r="I12" s="844"/>
      <c r="J12" s="844"/>
      <c r="K12" s="844"/>
      <c r="L12" s="844"/>
      <c r="M12" s="844"/>
      <c r="N12" s="844"/>
      <c r="O12" s="844"/>
      <c r="P12" s="844"/>
      <c r="Q12" s="844"/>
      <c r="R12" s="844"/>
      <c r="S12" s="844"/>
      <c r="T12" s="845"/>
      <c r="V12" s="849" t="s">
        <v>105</v>
      </c>
    </row>
    <row r="13" spans="1:29" s="64" customFormat="1" ht="13.5" customHeight="1" thickBot="1">
      <c r="A13" s="846"/>
      <c r="B13" s="847"/>
      <c r="C13" s="847"/>
      <c r="D13" s="847"/>
      <c r="E13" s="847"/>
      <c r="F13" s="847"/>
      <c r="G13" s="847"/>
      <c r="H13" s="847"/>
      <c r="I13" s="847"/>
      <c r="J13" s="847"/>
      <c r="K13" s="847"/>
      <c r="L13" s="847"/>
      <c r="M13" s="847"/>
      <c r="N13" s="847"/>
      <c r="O13" s="847"/>
      <c r="P13" s="847"/>
      <c r="Q13" s="847"/>
      <c r="R13" s="847"/>
      <c r="S13" s="847"/>
      <c r="T13" s="848"/>
      <c r="V13" s="850"/>
    </row>
    <row r="14" spans="1:29" s="64" customFormat="1" ht="39" customHeight="1">
      <c r="A14" s="865" t="s">
        <v>106</v>
      </c>
      <c r="B14" s="866"/>
      <c r="C14" s="866"/>
      <c r="D14" s="866"/>
      <c r="E14" s="866"/>
      <c r="F14" s="866"/>
      <c r="G14" s="866"/>
      <c r="H14" s="866"/>
      <c r="I14" s="867"/>
      <c r="J14" s="874" t="s">
        <v>107</v>
      </c>
      <c r="K14" s="544"/>
      <c r="L14" s="865" t="s">
        <v>108</v>
      </c>
      <c r="M14" s="877"/>
      <c r="N14" s="877"/>
      <c r="O14" s="877"/>
      <c r="P14" s="878"/>
      <c r="Q14" s="859" t="s">
        <v>109</v>
      </c>
      <c r="R14" s="860"/>
      <c r="S14" s="861"/>
      <c r="T14" s="551"/>
      <c r="V14" s="850"/>
    </row>
    <row r="15" spans="1:29" ht="39" customHeight="1" thickBot="1">
      <c r="A15" s="868"/>
      <c r="B15" s="869"/>
      <c r="C15" s="869"/>
      <c r="D15" s="869"/>
      <c r="E15" s="869"/>
      <c r="F15" s="869"/>
      <c r="G15" s="869"/>
      <c r="H15" s="869"/>
      <c r="I15" s="870"/>
      <c r="J15" s="875"/>
      <c r="K15" s="545"/>
      <c r="L15" s="879"/>
      <c r="M15" s="880"/>
      <c r="N15" s="880"/>
      <c r="O15" s="880"/>
      <c r="P15" s="881"/>
      <c r="Q15" s="862" t="s">
        <v>110</v>
      </c>
      <c r="R15" s="863"/>
      <c r="S15" s="864"/>
      <c r="T15" s="552"/>
      <c r="U15" s="64"/>
      <c r="V15" s="850"/>
      <c r="W15" s="64"/>
      <c r="X15" s="64"/>
      <c r="Y15" s="64"/>
      <c r="Z15" s="64"/>
      <c r="AA15" s="64"/>
      <c r="AB15" s="64"/>
      <c r="AC15" s="64"/>
    </row>
    <row r="16" spans="1:29" ht="30" customHeight="1" thickBot="1">
      <c r="A16" s="871"/>
      <c r="B16" s="872"/>
      <c r="C16" s="872"/>
      <c r="D16" s="872"/>
      <c r="E16" s="872"/>
      <c r="F16" s="872"/>
      <c r="G16" s="872"/>
      <c r="H16" s="872"/>
      <c r="I16" s="873"/>
      <c r="J16" s="876"/>
      <c r="K16" s="546"/>
      <c r="L16" s="547" t="s">
        <v>111</v>
      </c>
      <c r="M16" s="548"/>
      <c r="N16" s="548"/>
      <c r="O16" s="548"/>
      <c r="P16" s="548"/>
      <c r="Q16" s="857" t="s">
        <v>112</v>
      </c>
      <c r="R16" s="858"/>
      <c r="S16" s="853" t="s">
        <v>113</v>
      </c>
      <c r="T16" s="855" t="s">
        <v>114</v>
      </c>
      <c r="U16" s="64"/>
      <c r="V16" s="851"/>
      <c r="W16" s="64"/>
      <c r="X16" s="64"/>
      <c r="Y16" s="64"/>
      <c r="Z16" s="64"/>
      <c r="AA16" s="64"/>
      <c r="AB16" s="64"/>
      <c r="AC16" s="64"/>
    </row>
    <row r="17" spans="1:23" ht="153.75" customHeight="1">
      <c r="A17" s="400" t="s">
        <v>115</v>
      </c>
      <c r="B17" s="401" t="s">
        <v>116</v>
      </c>
      <c r="C17" s="401" t="s">
        <v>117</v>
      </c>
      <c r="D17" s="401" t="s">
        <v>118</v>
      </c>
      <c r="E17" s="401" t="s">
        <v>119</v>
      </c>
      <c r="F17" s="401" t="s">
        <v>120</v>
      </c>
      <c r="G17" s="401" t="s">
        <v>2122</v>
      </c>
      <c r="H17" s="402" t="s">
        <v>121</v>
      </c>
      <c r="I17" s="272" t="s">
        <v>122</v>
      </c>
      <c r="J17" s="271" t="s">
        <v>123</v>
      </c>
      <c r="K17" s="271" t="s">
        <v>124</v>
      </c>
      <c r="L17" s="270" t="s">
        <v>97</v>
      </c>
      <c r="M17" s="270" t="s">
        <v>99</v>
      </c>
      <c r="N17" s="270" t="s">
        <v>100</v>
      </c>
      <c r="O17" s="270" t="s">
        <v>102</v>
      </c>
      <c r="P17" s="270" t="s">
        <v>103</v>
      </c>
      <c r="Q17" s="273" t="s">
        <v>125</v>
      </c>
      <c r="R17" s="274" t="s">
        <v>126</v>
      </c>
      <c r="S17" s="854"/>
      <c r="T17" s="856"/>
      <c r="U17"/>
      <c r="V17" s="403" t="s">
        <v>127</v>
      </c>
    </row>
    <row r="18" spans="1:23" ht="18" customHeight="1">
      <c r="A18" s="625" t="s">
        <v>128</v>
      </c>
      <c r="B18" s="626" t="s">
        <v>129</v>
      </c>
      <c r="C18" s="626" t="s">
        <v>130</v>
      </c>
      <c r="D18" s="626" t="s">
        <v>131</v>
      </c>
      <c r="E18" s="627" t="s">
        <v>132</v>
      </c>
      <c r="F18" s="628">
        <v>2549</v>
      </c>
      <c r="G18" s="780">
        <v>15</v>
      </c>
      <c r="H18" s="629" t="s">
        <v>133</v>
      </c>
      <c r="I18" s="549"/>
      <c r="J18" s="310">
        <f>IFERROR(VLOOKUP(V18,プルダウンリスト!$D$15:$E$70,2,FALSE),"")</f>
        <v>16800</v>
      </c>
      <c r="K18" s="310">
        <f t="shared" ref="K18:K41" si="0">IFERROR(ROUNDDOWN(F18*J18/1000,0),"")</f>
        <v>42823</v>
      </c>
      <c r="L18" s="549"/>
      <c r="M18" s="549"/>
      <c r="N18" s="549" t="s">
        <v>134</v>
      </c>
      <c r="O18" s="549" t="s">
        <v>134</v>
      </c>
      <c r="P18" s="549" t="s">
        <v>134</v>
      </c>
      <c r="Q18" s="631" t="s">
        <v>135</v>
      </c>
      <c r="R18" s="627" t="s">
        <v>1756</v>
      </c>
      <c r="S18" s="626" t="s">
        <v>136</v>
      </c>
      <c r="T18" s="550"/>
      <c r="U18"/>
      <c r="V18" s="404" t="str">
        <f>$T$14&amp;E18&amp;H18</f>
        <v>田急傾斜</v>
      </c>
      <c r="W18" s="152"/>
    </row>
    <row r="19" spans="1:23" ht="18" customHeight="1">
      <c r="A19" s="625" t="s">
        <v>128</v>
      </c>
      <c r="B19" s="626" t="s">
        <v>129</v>
      </c>
      <c r="C19" s="626" t="s">
        <v>130</v>
      </c>
      <c r="D19" s="626" t="s">
        <v>137</v>
      </c>
      <c r="E19" s="627" t="s">
        <v>132</v>
      </c>
      <c r="F19" s="628">
        <v>1542</v>
      </c>
      <c r="G19" s="780">
        <v>15</v>
      </c>
      <c r="H19" s="629" t="s">
        <v>133</v>
      </c>
      <c r="I19" s="549"/>
      <c r="J19" s="310">
        <f>IFERROR(VLOOKUP(V19,プルダウンリスト!$D$15:$E$70,2,FALSE),"")</f>
        <v>16800</v>
      </c>
      <c r="K19" s="310">
        <f t="shared" si="0"/>
        <v>25905</v>
      </c>
      <c r="L19" s="549" t="s">
        <v>134</v>
      </c>
      <c r="M19" s="549" t="s">
        <v>134</v>
      </c>
      <c r="N19" s="549" t="s">
        <v>134</v>
      </c>
      <c r="O19" s="549" t="s">
        <v>134</v>
      </c>
      <c r="P19" s="549" t="s">
        <v>134</v>
      </c>
      <c r="Q19" s="631" t="s">
        <v>135</v>
      </c>
      <c r="R19" s="627" t="s">
        <v>1756</v>
      </c>
      <c r="S19" s="626" t="s">
        <v>136</v>
      </c>
      <c r="T19" s="550"/>
      <c r="U19"/>
      <c r="V19" s="404" t="str">
        <f>$T$14&amp;E19&amp;H19</f>
        <v>田急傾斜</v>
      </c>
    </row>
    <row r="20" spans="1:23" ht="18" customHeight="1">
      <c r="A20" s="625" t="s">
        <v>128</v>
      </c>
      <c r="B20" s="626" t="s">
        <v>129</v>
      </c>
      <c r="C20" s="626" t="s">
        <v>130</v>
      </c>
      <c r="D20" s="626" t="s">
        <v>138</v>
      </c>
      <c r="E20" s="627" t="s">
        <v>132</v>
      </c>
      <c r="F20" s="628">
        <v>925</v>
      </c>
      <c r="G20" s="780">
        <v>15</v>
      </c>
      <c r="H20" s="629" t="s">
        <v>133</v>
      </c>
      <c r="I20" s="549"/>
      <c r="J20" s="310">
        <f>IFERROR(VLOOKUP(V20,プルダウンリスト!$D$15:$E$70,2,FALSE),"")</f>
        <v>16800</v>
      </c>
      <c r="K20" s="310">
        <f t="shared" si="0"/>
        <v>15540</v>
      </c>
      <c r="L20" s="549"/>
      <c r="M20" s="549" t="s">
        <v>140</v>
      </c>
      <c r="N20" s="549" t="s">
        <v>134</v>
      </c>
      <c r="O20" s="549" t="s">
        <v>134</v>
      </c>
      <c r="P20" s="549" t="s">
        <v>134</v>
      </c>
      <c r="Q20" s="631" t="s">
        <v>135</v>
      </c>
      <c r="R20" s="627" t="s">
        <v>1756</v>
      </c>
      <c r="S20" s="626" t="s">
        <v>136</v>
      </c>
      <c r="T20" s="550"/>
      <c r="U20"/>
      <c r="V20" s="404" t="str">
        <f t="shared" ref="V20:V41" si="1">$T$14&amp;E20&amp;H20</f>
        <v>田急傾斜</v>
      </c>
    </row>
    <row r="21" spans="1:23" ht="18" customHeight="1">
      <c r="A21" s="625" t="s">
        <v>128</v>
      </c>
      <c r="B21" s="626" t="s">
        <v>129</v>
      </c>
      <c r="C21" s="626" t="s">
        <v>130</v>
      </c>
      <c r="D21" s="626" t="s">
        <v>141</v>
      </c>
      <c r="E21" s="627" t="s">
        <v>132</v>
      </c>
      <c r="F21" s="628">
        <v>1113</v>
      </c>
      <c r="G21" s="780">
        <v>15</v>
      </c>
      <c r="H21" s="629" t="s">
        <v>133</v>
      </c>
      <c r="I21" s="549"/>
      <c r="J21" s="310">
        <f>IFERROR(VLOOKUP(V21,プルダウンリスト!$D$15:$E$70,2,FALSE),"")</f>
        <v>16800</v>
      </c>
      <c r="K21" s="310">
        <f t="shared" si="0"/>
        <v>18698</v>
      </c>
      <c r="L21" s="549"/>
      <c r="M21" s="549" t="s">
        <v>134</v>
      </c>
      <c r="N21" s="549" t="s">
        <v>134</v>
      </c>
      <c r="O21" s="549" t="s">
        <v>134</v>
      </c>
      <c r="P21" s="549" t="s">
        <v>134</v>
      </c>
      <c r="Q21" s="631" t="s">
        <v>135</v>
      </c>
      <c r="R21" s="627" t="s">
        <v>1756</v>
      </c>
      <c r="S21" s="626" t="s">
        <v>136</v>
      </c>
      <c r="T21" s="550"/>
      <c r="U21"/>
      <c r="V21" s="404" t="str">
        <f t="shared" si="1"/>
        <v>田急傾斜</v>
      </c>
    </row>
    <row r="22" spans="1:23" ht="18" customHeight="1">
      <c r="A22" s="625" t="s">
        <v>128</v>
      </c>
      <c r="B22" s="626" t="s">
        <v>129</v>
      </c>
      <c r="C22" s="626" t="s">
        <v>130</v>
      </c>
      <c r="D22" s="626" t="s">
        <v>142</v>
      </c>
      <c r="E22" s="627" t="s">
        <v>132</v>
      </c>
      <c r="F22" s="628">
        <v>832</v>
      </c>
      <c r="G22" s="780">
        <v>15</v>
      </c>
      <c r="H22" s="629" t="s">
        <v>133</v>
      </c>
      <c r="I22" s="549"/>
      <c r="J22" s="310">
        <f>IFERROR(VLOOKUP(V22,プルダウンリスト!$D$15:$E$70,2,FALSE),"")</f>
        <v>16800</v>
      </c>
      <c r="K22" s="310">
        <f t="shared" si="0"/>
        <v>13977</v>
      </c>
      <c r="L22" s="549"/>
      <c r="M22" s="549" t="s">
        <v>134</v>
      </c>
      <c r="N22" s="549" t="s">
        <v>134</v>
      </c>
      <c r="O22" s="549" t="s">
        <v>134</v>
      </c>
      <c r="P22" s="549" t="s">
        <v>134</v>
      </c>
      <c r="Q22" s="631" t="s">
        <v>135</v>
      </c>
      <c r="R22" s="627" t="s">
        <v>1756</v>
      </c>
      <c r="S22" s="626" t="s">
        <v>136</v>
      </c>
      <c r="T22" s="550"/>
      <c r="U22"/>
      <c r="V22" s="404" t="str">
        <f t="shared" si="1"/>
        <v>田急傾斜</v>
      </c>
    </row>
    <row r="23" spans="1:23" ht="18" customHeight="1">
      <c r="A23" s="625" t="s">
        <v>128</v>
      </c>
      <c r="B23" s="626" t="s">
        <v>129</v>
      </c>
      <c r="C23" s="626" t="s">
        <v>130</v>
      </c>
      <c r="D23" s="626" t="s">
        <v>143</v>
      </c>
      <c r="E23" s="627" t="s">
        <v>132</v>
      </c>
      <c r="F23" s="628">
        <v>485</v>
      </c>
      <c r="G23" s="780">
        <v>15</v>
      </c>
      <c r="H23" s="629" t="s">
        <v>133</v>
      </c>
      <c r="I23" s="549"/>
      <c r="J23" s="310">
        <f>IFERROR(VLOOKUP(V23,プルダウンリスト!$D$15:$E$70,2,FALSE),"")</f>
        <v>16800</v>
      </c>
      <c r="K23" s="310">
        <f t="shared" si="0"/>
        <v>8148</v>
      </c>
      <c r="L23" s="549"/>
      <c r="M23" s="549" t="s">
        <v>134</v>
      </c>
      <c r="N23" s="549" t="s">
        <v>134</v>
      </c>
      <c r="O23" s="549" t="s">
        <v>134</v>
      </c>
      <c r="P23" s="549" t="s">
        <v>134</v>
      </c>
      <c r="Q23" s="631" t="s">
        <v>135</v>
      </c>
      <c r="R23" s="627" t="s">
        <v>1756</v>
      </c>
      <c r="S23" s="626" t="s">
        <v>136</v>
      </c>
      <c r="T23" s="550"/>
      <c r="U23"/>
      <c r="V23" s="404" t="str">
        <f t="shared" si="1"/>
        <v>田急傾斜</v>
      </c>
    </row>
    <row r="24" spans="1:23" ht="18" customHeight="1">
      <c r="A24" s="625" t="s">
        <v>128</v>
      </c>
      <c r="B24" s="626" t="s">
        <v>129</v>
      </c>
      <c r="C24" s="626" t="s">
        <v>130</v>
      </c>
      <c r="D24" s="626" t="s">
        <v>144</v>
      </c>
      <c r="E24" s="627" t="s">
        <v>132</v>
      </c>
      <c r="F24" s="628">
        <v>945</v>
      </c>
      <c r="G24" s="780">
        <v>15</v>
      </c>
      <c r="H24" s="629" t="s">
        <v>133</v>
      </c>
      <c r="I24" s="549"/>
      <c r="J24" s="310">
        <f>IFERROR(VLOOKUP(V24,プルダウンリスト!$D$15:$E$70,2,FALSE),"")</f>
        <v>16800</v>
      </c>
      <c r="K24" s="310">
        <f t="shared" si="0"/>
        <v>15876</v>
      </c>
      <c r="L24" s="549"/>
      <c r="M24" s="549" t="s">
        <v>134</v>
      </c>
      <c r="N24" s="549" t="s">
        <v>134</v>
      </c>
      <c r="O24" s="549" t="s">
        <v>134</v>
      </c>
      <c r="P24" s="549" t="s">
        <v>134</v>
      </c>
      <c r="Q24" s="631" t="s">
        <v>135</v>
      </c>
      <c r="R24" s="627" t="s">
        <v>1756</v>
      </c>
      <c r="S24" s="626" t="s">
        <v>136</v>
      </c>
      <c r="T24" s="550"/>
      <c r="U24"/>
      <c r="V24" s="404" t="str">
        <f t="shared" si="1"/>
        <v>田急傾斜</v>
      </c>
    </row>
    <row r="25" spans="1:23" ht="18" customHeight="1">
      <c r="A25" s="625" t="s">
        <v>128</v>
      </c>
      <c r="B25" s="626" t="s">
        <v>129</v>
      </c>
      <c r="C25" s="626" t="s">
        <v>130</v>
      </c>
      <c r="D25" s="626" t="s">
        <v>145</v>
      </c>
      <c r="E25" s="627" t="s">
        <v>132</v>
      </c>
      <c r="F25" s="628">
        <v>712</v>
      </c>
      <c r="G25" s="780">
        <v>15</v>
      </c>
      <c r="H25" s="629" t="s">
        <v>133</v>
      </c>
      <c r="I25" s="549"/>
      <c r="J25" s="310">
        <f>IFERROR(VLOOKUP(V25,プルダウンリスト!$D$15:$E$70,2,FALSE),"")</f>
        <v>16800</v>
      </c>
      <c r="K25" s="310">
        <f t="shared" si="0"/>
        <v>11961</v>
      </c>
      <c r="L25" s="549"/>
      <c r="M25" s="549" t="s">
        <v>134</v>
      </c>
      <c r="N25" s="549" t="s">
        <v>134</v>
      </c>
      <c r="O25" s="549" t="s">
        <v>134</v>
      </c>
      <c r="P25" s="549" t="s">
        <v>134</v>
      </c>
      <c r="Q25" s="631" t="s">
        <v>135</v>
      </c>
      <c r="R25" s="627" t="s">
        <v>1756</v>
      </c>
      <c r="S25" s="626" t="s">
        <v>136</v>
      </c>
      <c r="T25" s="550"/>
      <c r="U25"/>
      <c r="V25" s="404" t="str">
        <f t="shared" si="1"/>
        <v>田急傾斜</v>
      </c>
    </row>
    <row r="26" spans="1:23" ht="18" customHeight="1">
      <c r="A26" s="625" t="s">
        <v>128</v>
      </c>
      <c r="B26" s="626" t="s">
        <v>129</v>
      </c>
      <c r="C26" s="626" t="s">
        <v>130</v>
      </c>
      <c r="D26" s="626" t="s">
        <v>146</v>
      </c>
      <c r="E26" s="627" t="s">
        <v>132</v>
      </c>
      <c r="F26" s="628">
        <v>894</v>
      </c>
      <c r="G26" s="780">
        <v>15</v>
      </c>
      <c r="H26" s="629" t="s">
        <v>133</v>
      </c>
      <c r="I26" s="549"/>
      <c r="J26" s="310">
        <f>IFERROR(VLOOKUP(V26,プルダウンリスト!$D$15:$E$70,2,FALSE),"")</f>
        <v>16800</v>
      </c>
      <c r="K26" s="310">
        <f t="shared" si="0"/>
        <v>15019</v>
      </c>
      <c r="L26" s="549" t="s">
        <v>134</v>
      </c>
      <c r="M26" s="549" t="s">
        <v>134</v>
      </c>
      <c r="N26" s="549" t="s">
        <v>134</v>
      </c>
      <c r="O26" s="549" t="s">
        <v>134</v>
      </c>
      <c r="P26" s="549" t="s">
        <v>134</v>
      </c>
      <c r="Q26" s="631" t="s">
        <v>135</v>
      </c>
      <c r="R26" s="627" t="s">
        <v>1756</v>
      </c>
      <c r="S26" s="626" t="s">
        <v>136</v>
      </c>
      <c r="T26" s="550"/>
      <c r="U26"/>
      <c r="V26" s="404" t="str">
        <f t="shared" si="1"/>
        <v>田急傾斜</v>
      </c>
    </row>
    <row r="27" spans="1:23" ht="18" customHeight="1">
      <c r="A27" s="625" t="s">
        <v>128</v>
      </c>
      <c r="B27" s="626" t="s">
        <v>129</v>
      </c>
      <c r="C27" s="626" t="s">
        <v>130</v>
      </c>
      <c r="D27" s="626" t="s">
        <v>147</v>
      </c>
      <c r="E27" s="627" t="s">
        <v>132</v>
      </c>
      <c r="F27" s="628">
        <v>100</v>
      </c>
      <c r="G27" s="780">
        <v>15</v>
      </c>
      <c r="H27" s="629" t="s">
        <v>133</v>
      </c>
      <c r="I27" s="549"/>
      <c r="J27" s="310">
        <f>IFERROR(VLOOKUP(V27,プルダウンリスト!$D$15:$E$70,2,FALSE),"")</f>
        <v>16800</v>
      </c>
      <c r="K27" s="310">
        <f t="shared" si="0"/>
        <v>1680</v>
      </c>
      <c r="L27" s="549" t="s">
        <v>134</v>
      </c>
      <c r="M27" s="549" t="s">
        <v>134</v>
      </c>
      <c r="N27" s="549" t="s">
        <v>134</v>
      </c>
      <c r="O27" s="549" t="s">
        <v>134</v>
      </c>
      <c r="P27" s="549" t="s">
        <v>134</v>
      </c>
      <c r="Q27" s="631" t="s">
        <v>135</v>
      </c>
      <c r="R27" s="627" t="s">
        <v>1756</v>
      </c>
      <c r="S27" s="626" t="s">
        <v>136</v>
      </c>
      <c r="T27" s="550"/>
      <c r="U27"/>
      <c r="V27" s="404" t="str">
        <f t="shared" si="1"/>
        <v>田急傾斜</v>
      </c>
    </row>
    <row r="28" spans="1:23" ht="18" customHeight="1">
      <c r="A28" s="625" t="s">
        <v>128</v>
      </c>
      <c r="B28" s="626" t="s">
        <v>129</v>
      </c>
      <c r="C28" s="626" t="s">
        <v>130</v>
      </c>
      <c r="D28" s="626" t="s">
        <v>131</v>
      </c>
      <c r="E28" s="627" t="s">
        <v>132</v>
      </c>
      <c r="F28" s="628">
        <v>512</v>
      </c>
      <c r="G28" s="780">
        <v>89</v>
      </c>
      <c r="H28" s="629" t="s">
        <v>156</v>
      </c>
      <c r="I28" s="549"/>
      <c r="J28" s="310">
        <f>IFERROR(VLOOKUP(V28,プルダウンリスト!$D$15:$E$70,2,FALSE),"")</f>
        <v>6400</v>
      </c>
      <c r="K28" s="310">
        <f t="shared" si="0"/>
        <v>3276</v>
      </c>
      <c r="L28" s="549" t="s">
        <v>134</v>
      </c>
      <c r="M28" s="549" t="s">
        <v>134</v>
      </c>
      <c r="N28" s="549" t="s">
        <v>134</v>
      </c>
      <c r="O28" s="549" t="s">
        <v>134</v>
      </c>
      <c r="P28" s="549" t="s">
        <v>134</v>
      </c>
      <c r="Q28" s="631" t="s">
        <v>135</v>
      </c>
      <c r="R28" s="627" t="s">
        <v>1756</v>
      </c>
      <c r="S28" s="626" t="s">
        <v>1754</v>
      </c>
      <c r="T28" s="632" t="s">
        <v>139</v>
      </c>
      <c r="U28"/>
      <c r="V28" s="404" t="str">
        <f t="shared" si="1"/>
        <v>田緩傾斜</v>
      </c>
    </row>
    <row r="29" spans="1:23" ht="18" customHeight="1">
      <c r="A29" s="625" t="s">
        <v>128</v>
      </c>
      <c r="B29" s="626" t="s">
        <v>129</v>
      </c>
      <c r="C29" s="626" t="s">
        <v>130</v>
      </c>
      <c r="D29" s="626" t="s">
        <v>137</v>
      </c>
      <c r="E29" s="627" t="s">
        <v>132</v>
      </c>
      <c r="F29" s="628">
        <v>666</v>
      </c>
      <c r="G29" s="780">
        <v>89</v>
      </c>
      <c r="H29" s="629" t="s">
        <v>156</v>
      </c>
      <c r="I29" s="549"/>
      <c r="J29" s="310">
        <f>IFERROR(VLOOKUP(V29,プルダウンリスト!$D$15:$E$70,2,FALSE),"")</f>
        <v>6400</v>
      </c>
      <c r="K29" s="310">
        <f t="shared" si="0"/>
        <v>4262</v>
      </c>
      <c r="L29" s="549" t="s">
        <v>134</v>
      </c>
      <c r="M29" s="549" t="s">
        <v>134</v>
      </c>
      <c r="N29" s="549" t="s">
        <v>134</v>
      </c>
      <c r="O29" s="549" t="s">
        <v>134</v>
      </c>
      <c r="P29" s="549" t="s">
        <v>134</v>
      </c>
      <c r="Q29" s="631" t="s">
        <v>135</v>
      </c>
      <c r="R29" s="627" t="s">
        <v>1756</v>
      </c>
      <c r="S29" s="626" t="s">
        <v>1754</v>
      </c>
      <c r="T29" s="632" t="s">
        <v>139</v>
      </c>
      <c r="U29"/>
      <c r="V29" s="404" t="str">
        <f t="shared" si="1"/>
        <v>田緩傾斜</v>
      </c>
    </row>
    <row r="30" spans="1:23" ht="18" customHeight="1">
      <c r="A30" s="625" t="s">
        <v>128</v>
      </c>
      <c r="B30" s="626" t="s">
        <v>129</v>
      </c>
      <c r="C30" s="626" t="s">
        <v>130</v>
      </c>
      <c r="D30" s="626" t="s">
        <v>138</v>
      </c>
      <c r="E30" s="627" t="s">
        <v>132</v>
      </c>
      <c r="F30" s="628">
        <v>200</v>
      </c>
      <c r="G30" s="780">
        <v>89</v>
      </c>
      <c r="H30" s="629" t="s">
        <v>156</v>
      </c>
      <c r="I30" s="549"/>
      <c r="J30" s="310">
        <f>IFERROR(VLOOKUP(V30,プルダウンリスト!$D$15:$E$70,2,FALSE),"")</f>
        <v>6400</v>
      </c>
      <c r="K30" s="310">
        <f t="shared" si="0"/>
        <v>1280</v>
      </c>
      <c r="L30" s="549" t="s">
        <v>134</v>
      </c>
      <c r="M30" s="549" t="s">
        <v>134</v>
      </c>
      <c r="N30" s="549" t="s">
        <v>134</v>
      </c>
      <c r="O30" s="549" t="s">
        <v>134</v>
      </c>
      <c r="P30" s="549" t="s">
        <v>134</v>
      </c>
      <c r="Q30" s="631" t="s">
        <v>135</v>
      </c>
      <c r="R30" s="627" t="s">
        <v>1756</v>
      </c>
      <c r="S30" s="626" t="s">
        <v>1754</v>
      </c>
      <c r="T30" s="632" t="s">
        <v>139</v>
      </c>
      <c r="U30"/>
      <c r="V30" s="404" t="str">
        <f t="shared" si="1"/>
        <v>田緩傾斜</v>
      </c>
    </row>
    <row r="31" spans="1:23" ht="18" customHeight="1">
      <c r="A31" s="625" t="s">
        <v>128</v>
      </c>
      <c r="B31" s="626" t="s">
        <v>129</v>
      </c>
      <c r="C31" s="626" t="s">
        <v>130</v>
      </c>
      <c r="D31" s="626" t="s">
        <v>141</v>
      </c>
      <c r="E31" s="627" t="s">
        <v>132</v>
      </c>
      <c r="F31" s="628">
        <v>173</v>
      </c>
      <c r="G31" s="780">
        <v>89</v>
      </c>
      <c r="H31" s="629" t="s">
        <v>156</v>
      </c>
      <c r="I31" s="549"/>
      <c r="J31" s="310">
        <f>IFERROR(VLOOKUP(V31,プルダウンリスト!$D$15:$E$70,2,FALSE),"")</f>
        <v>6400</v>
      </c>
      <c r="K31" s="310">
        <f t="shared" si="0"/>
        <v>1107</v>
      </c>
      <c r="L31" s="549" t="s">
        <v>134</v>
      </c>
      <c r="M31" s="549" t="s">
        <v>134</v>
      </c>
      <c r="N31" s="549" t="s">
        <v>134</v>
      </c>
      <c r="O31" s="549" t="s">
        <v>134</v>
      </c>
      <c r="P31" s="549" t="s">
        <v>134</v>
      </c>
      <c r="Q31" s="631" t="s">
        <v>135</v>
      </c>
      <c r="R31" s="627" t="s">
        <v>1756</v>
      </c>
      <c r="S31" s="626" t="s">
        <v>1754</v>
      </c>
      <c r="T31" s="632" t="s">
        <v>139</v>
      </c>
      <c r="U31"/>
      <c r="V31" s="404" t="str">
        <f t="shared" si="1"/>
        <v>田緩傾斜</v>
      </c>
    </row>
    <row r="32" spans="1:23" ht="18" customHeight="1">
      <c r="A32" s="625" t="s">
        <v>128</v>
      </c>
      <c r="B32" s="626" t="s">
        <v>129</v>
      </c>
      <c r="C32" s="626" t="s">
        <v>130</v>
      </c>
      <c r="D32" s="626" t="s">
        <v>142</v>
      </c>
      <c r="E32" s="627" t="s">
        <v>132</v>
      </c>
      <c r="F32" s="628">
        <v>32</v>
      </c>
      <c r="G32" s="780">
        <v>89</v>
      </c>
      <c r="H32" s="629" t="s">
        <v>156</v>
      </c>
      <c r="I32" s="549"/>
      <c r="J32" s="310">
        <f>IFERROR(VLOOKUP(V32,プルダウンリスト!$D$15:$E$70,2,FALSE),"")</f>
        <v>6400</v>
      </c>
      <c r="K32" s="310">
        <f t="shared" si="0"/>
        <v>204</v>
      </c>
      <c r="L32" s="549" t="s">
        <v>134</v>
      </c>
      <c r="M32" s="549" t="s">
        <v>134</v>
      </c>
      <c r="N32" s="549" t="s">
        <v>134</v>
      </c>
      <c r="O32" s="549" t="s">
        <v>134</v>
      </c>
      <c r="P32" s="549" t="s">
        <v>134</v>
      </c>
      <c r="Q32" s="631" t="s">
        <v>135</v>
      </c>
      <c r="R32" s="627" t="s">
        <v>1756</v>
      </c>
      <c r="S32" s="626" t="s">
        <v>1754</v>
      </c>
      <c r="T32" s="632" t="s">
        <v>139</v>
      </c>
      <c r="U32"/>
      <c r="V32" s="404" t="str">
        <f t="shared" si="1"/>
        <v>田緩傾斜</v>
      </c>
    </row>
    <row r="33" spans="1:22" ht="18" customHeight="1">
      <c r="A33" s="625" t="s">
        <v>128</v>
      </c>
      <c r="B33" s="626" t="s">
        <v>129</v>
      </c>
      <c r="C33" s="626" t="s">
        <v>130</v>
      </c>
      <c r="D33" s="626" t="s">
        <v>143</v>
      </c>
      <c r="E33" s="627" t="s">
        <v>132</v>
      </c>
      <c r="F33" s="628">
        <v>1567</v>
      </c>
      <c r="G33" s="780">
        <v>8</v>
      </c>
      <c r="H33" s="629" t="s">
        <v>133</v>
      </c>
      <c r="I33" s="549"/>
      <c r="J33" s="310">
        <f>IFERROR(VLOOKUP(V33,プルダウンリスト!$D$15:$E$70,2,FALSE),"")</f>
        <v>16800</v>
      </c>
      <c r="K33" s="310">
        <f t="shared" si="0"/>
        <v>26325</v>
      </c>
      <c r="L33" s="549" t="s">
        <v>134</v>
      </c>
      <c r="M33" s="630" t="s">
        <v>139</v>
      </c>
      <c r="N33" s="549"/>
      <c r="O33" s="549" t="s">
        <v>134</v>
      </c>
      <c r="P33" s="549" t="s">
        <v>134</v>
      </c>
      <c r="Q33" s="631" t="s">
        <v>135</v>
      </c>
      <c r="R33" s="627" t="s">
        <v>1756</v>
      </c>
      <c r="S33" s="626" t="s">
        <v>136</v>
      </c>
      <c r="T33" s="550"/>
      <c r="U33"/>
      <c r="V33" s="404" t="str">
        <f t="shared" si="1"/>
        <v>田急傾斜</v>
      </c>
    </row>
    <row r="34" spans="1:22" ht="18" customHeight="1">
      <c r="A34" s="625" t="s">
        <v>128</v>
      </c>
      <c r="B34" s="626" t="s">
        <v>129</v>
      </c>
      <c r="C34" s="626" t="s">
        <v>130</v>
      </c>
      <c r="D34" s="626" t="s">
        <v>144</v>
      </c>
      <c r="E34" s="627" t="s">
        <v>132</v>
      </c>
      <c r="F34" s="628">
        <v>431</v>
      </c>
      <c r="G34" s="780">
        <v>8</v>
      </c>
      <c r="H34" s="629" t="s">
        <v>133</v>
      </c>
      <c r="I34" s="549"/>
      <c r="J34" s="310">
        <f>IFERROR(VLOOKUP(V34,プルダウンリスト!$D$15:$E$70,2,FALSE),"")</f>
        <v>16800</v>
      </c>
      <c r="K34" s="310">
        <f t="shared" si="0"/>
        <v>7240</v>
      </c>
      <c r="L34" s="549" t="s">
        <v>134</v>
      </c>
      <c r="M34" s="630" t="s">
        <v>139</v>
      </c>
      <c r="N34" s="549"/>
      <c r="O34" s="549" t="s">
        <v>134</v>
      </c>
      <c r="P34" s="549" t="s">
        <v>134</v>
      </c>
      <c r="Q34" s="631" t="s">
        <v>135</v>
      </c>
      <c r="R34" s="627" t="s">
        <v>1756</v>
      </c>
      <c r="S34" s="626" t="s">
        <v>136</v>
      </c>
      <c r="T34" s="550"/>
      <c r="U34"/>
      <c r="V34" s="404" t="str">
        <f t="shared" si="1"/>
        <v>田急傾斜</v>
      </c>
    </row>
    <row r="35" spans="1:22" ht="18" customHeight="1">
      <c r="A35" s="625" t="s">
        <v>128</v>
      </c>
      <c r="B35" s="626" t="s">
        <v>129</v>
      </c>
      <c r="C35" s="626" t="s">
        <v>130</v>
      </c>
      <c r="D35" s="626" t="s">
        <v>145</v>
      </c>
      <c r="E35" s="627" t="s">
        <v>132</v>
      </c>
      <c r="F35" s="628">
        <v>476</v>
      </c>
      <c r="G35" s="780">
        <v>8</v>
      </c>
      <c r="H35" s="629" t="s">
        <v>133</v>
      </c>
      <c r="I35" s="549"/>
      <c r="J35" s="310">
        <f>IFERROR(VLOOKUP(V35,プルダウンリスト!$D$15:$E$70,2,FALSE),"")</f>
        <v>16800</v>
      </c>
      <c r="K35" s="310">
        <f t="shared" si="0"/>
        <v>7996</v>
      </c>
      <c r="L35" s="549" t="s">
        <v>134</v>
      </c>
      <c r="M35" s="630" t="s">
        <v>139</v>
      </c>
      <c r="N35" s="549" t="s">
        <v>134</v>
      </c>
      <c r="O35" s="549" t="s">
        <v>134</v>
      </c>
      <c r="P35" s="549" t="s">
        <v>134</v>
      </c>
      <c r="Q35" s="631" t="s">
        <v>135</v>
      </c>
      <c r="R35" s="627" t="s">
        <v>1756</v>
      </c>
      <c r="S35" s="626" t="s">
        <v>136</v>
      </c>
      <c r="T35" s="550"/>
      <c r="U35"/>
      <c r="V35" s="404" t="str">
        <f t="shared" si="1"/>
        <v>田急傾斜</v>
      </c>
    </row>
    <row r="36" spans="1:22" ht="18" customHeight="1">
      <c r="A36" s="625" t="s">
        <v>128</v>
      </c>
      <c r="B36" s="626" t="s">
        <v>129</v>
      </c>
      <c r="C36" s="626" t="s">
        <v>130</v>
      </c>
      <c r="D36" s="626" t="s">
        <v>146</v>
      </c>
      <c r="E36" s="627" t="s">
        <v>132</v>
      </c>
      <c r="F36" s="628">
        <v>798</v>
      </c>
      <c r="G36" s="780">
        <v>8</v>
      </c>
      <c r="H36" s="629" t="s">
        <v>133</v>
      </c>
      <c r="I36" s="549"/>
      <c r="J36" s="310">
        <f>IFERROR(VLOOKUP(V36,プルダウンリスト!$D$15:$E$70,2,FALSE),"")</f>
        <v>16800</v>
      </c>
      <c r="K36" s="310">
        <f t="shared" si="0"/>
        <v>13406</v>
      </c>
      <c r="L36" s="549" t="s">
        <v>134</v>
      </c>
      <c r="M36" s="630" t="s">
        <v>139</v>
      </c>
      <c r="N36" s="549" t="s">
        <v>134</v>
      </c>
      <c r="O36" s="549" t="s">
        <v>134</v>
      </c>
      <c r="P36" s="549" t="s">
        <v>134</v>
      </c>
      <c r="Q36" s="631" t="s">
        <v>135</v>
      </c>
      <c r="R36" s="627" t="s">
        <v>1756</v>
      </c>
      <c r="S36" s="626" t="s">
        <v>136</v>
      </c>
      <c r="T36" s="550"/>
      <c r="U36"/>
      <c r="V36" s="404" t="str">
        <f t="shared" si="1"/>
        <v>田急傾斜</v>
      </c>
    </row>
    <row r="37" spans="1:22" ht="18" customHeight="1">
      <c r="A37" s="625" t="s">
        <v>128</v>
      </c>
      <c r="B37" s="626" t="s">
        <v>129</v>
      </c>
      <c r="C37" s="626" t="s">
        <v>130</v>
      </c>
      <c r="D37" s="626" t="s">
        <v>147</v>
      </c>
      <c r="E37" s="627" t="s">
        <v>132</v>
      </c>
      <c r="F37" s="628">
        <v>975</v>
      </c>
      <c r="G37" s="780">
        <v>8</v>
      </c>
      <c r="H37" s="629" t="s">
        <v>133</v>
      </c>
      <c r="I37" s="549"/>
      <c r="J37" s="310">
        <f>IFERROR(VLOOKUP(V37,プルダウンリスト!$D$15:$E$70,2,FALSE),"")</f>
        <v>16800</v>
      </c>
      <c r="K37" s="310">
        <f t="shared" si="0"/>
        <v>16380</v>
      </c>
      <c r="L37" s="549" t="s">
        <v>134</v>
      </c>
      <c r="M37" s="630" t="s">
        <v>139</v>
      </c>
      <c r="N37" s="549" t="s">
        <v>134</v>
      </c>
      <c r="O37" s="549" t="s">
        <v>134</v>
      </c>
      <c r="P37" s="549" t="s">
        <v>134</v>
      </c>
      <c r="Q37" s="631" t="s">
        <v>135</v>
      </c>
      <c r="R37" s="627" t="s">
        <v>1756</v>
      </c>
      <c r="S37" s="626" t="s">
        <v>136</v>
      </c>
      <c r="T37" s="550"/>
      <c r="U37"/>
      <c r="V37" s="404" t="str">
        <f t="shared" si="1"/>
        <v>田急傾斜</v>
      </c>
    </row>
    <row r="38" spans="1:22" ht="18" customHeight="1">
      <c r="A38" s="625" t="s">
        <v>128</v>
      </c>
      <c r="B38" s="626" t="s">
        <v>129</v>
      </c>
      <c r="C38" s="626" t="s">
        <v>148</v>
      </c>
      <c r="D38" s="626" t="s">
        <v>131</v>
      </c>
      <c r="E38" s="627" t="s">
        <v>132</v>
      </c>
      <c r="F38" s="628">
        <v>865</v>
      </c>
      <c r="G38" s="780">
        <v>25</v>
      </c>
      <c r="H38" s="629" t="s">
        <v>156</v>
      </c>
      <c r="I38" s="549"/>
      <c r="J38" s="310">
        <f>IFERROR(VLOOKUP(V38,プルダウンリスト!$D$15:$E$70,2,FALSE),"")</f>
        <v>6400</v>
      </c>
      <c r="K38" s="310">
        <f t="shared" si="0"/>
        <v>5536</v>
      </c>
      <c r="L38" s="549" t="s">
        <v>134</v>
      </c>
      <c r="M38" s="549" t="s">
        <v>134</v>
      </c>
      <c r="N38" s="549" t="s">
        <v>134</v>
      </c>
      <c r="O38" s="549" t="s">
        <v>134</v>
      </c>
      <c r="P38" s="549" t="s">
        <v>134</v>
      </c>
      <c r="Q38" s="631" t="s">
        <v>177</v>
      </c>
      <c r="R38" s="627" t="s">
        <v>1755</v>
      </c>
      <c r="S38" s="626" t="s">
        <v>136</v>
      </c>
      <c r="T38" s="550"/>
      <c r="U38"/>
      <c r="V38" s="404" t="str">
        <f t="shared" si="1"/>
        <v>田緩傾斜</v>
      </c>
    </row>
    <row r="39" spans="1:22" ht="18" customHeight="1">
      <c r="A39" s="625" t="s">
        <v>128</v>
      </c>
      <c r="B39" s="626" t="s">
        <v>129</v>
      </c>
      <c r="C39" s="626" t="s">
        <v>148</v>
      </c>
      <c r="D39" s="626" t="s">
        <v>137</v>
      </c>
      <c r="E39" s="627" t="s">
        <v>132</v>
      </c>
      <c r="F39" s="628">
        <v>598</v>
      </c>
      <c r="G39" s="780">
        <v>25</v>
      </c>
      <c r="H39" s="629" t="s">
        <v>156</v>
      </c>
      <c r="I39" s="549"/>
      <c r="J39" s="310">
        <f>IFERROR(VLOOKUP(V39,プルダウンリスト!$D$15:$E$70,2,FALSE),"")</f>
        <v>6400</v>
      </c>
      <c r="K39" s="310">
        <f t="shared" si="0"/>
        <v>3827</v>
      </c>
      <c r="L39" s="549" t="s">
        <v>134</v>
      </c>
      <c r="M39" s="549" t="s">
        <v>134</v>
      </c>
      <c r="N39" s="549" t="s">
        <v>134</v>
      </c>
      <c r="O39" s="549" t="s">
        <v>134</v>
      </c>
      <c r="P39" s="549" t="s">
        <v>134</v>
      </c>
      <c r="Q39" s="631" t="s">
        <v>177</v>
      </c>
      <c r="R39" s="627" t="s">
        <v>1755</v>
      </c>
      <c r="S39" s="626" t="s">
        <v>136</v>
      </c>
      <c r="T39" s="550"/>
      <c r="U39"/>
      <c r="V39" s="404" t="str">
        <f t="shared" si="1"/>
        <v>田緩傾斜</v>
      </c>
    </row>
    <row r="40" spans="1:22" ht="18" customHeight="1">
      <c r="A40" s="625" t="s">
        <v>128</v>
      </c>
      <c r="B40" s="626" t="s">
        <v>129</v>
      </c>
      <c r="C40" s="626" t="s">
        <v>148</v>
      </c>
      <c r="D40" s="626" t="s">
        <v>138</v>
      </c>
      <c r="E40" s="627" t="s">
        <v>132</v>
      </c>
      <c r="F40" s="628">
        <v>3751</v>
      </c>
      <c r="G40" s="780">
        <v>25</v>
      </c>
      <c r="H40" s="629" t="s">
        <v>156</v>
      </c>
      <c r="I40" s="549"/>
      <c r="J40" s="310">
        <f>IFERROR(VLOOKUP(V40,プルダウンリスト!$D$15:$E$70,2,FALSE),"")</f>
        <v>6400</v>
      </c>
      <c r="K40" s="310">
        <f t="shared" si="0"/>
        <v>24006</v>
      </c>
      <c r="L40" s="549" t="s">
        <v>134</v>
      </c>
      <c r="M40" s="549" t="s">
        <v>134</v>
      </c>
      <c r="N40" s="549" t="s">
        <v>134</v>
      </c>
      <c r="O40" s="549" t="s">
        <v>134</v>
      </c>
      <c r="P40" s="549" t="s">
        <v>134</v>
      </c>
      <c r="Q40" s="631" t="s">
        <v>177</v>
      </c>
      <c r="R40" s="627" t="s">
        <v>1755</v>
      </c>
      <c r="S40" s="626" t="s">
        <v>136</v>
      </c>
      <c r="T40" s="550"/>
      <c r="U40"/>
      <c r="V40" s="404" t="str">
        <f t="shared" si="1"/>
        <v>田緩傾斜</v>
      </c>
    </row>
    <row r="41" spans="1:22" ht="18" customHeight="1">
      <c r="A41" s="625" t="s">
        <v>128</v>
      </c>
      <c r="B41" s="626" t="s">
        <v>129</v>
      </c>
      <c r="C41" s="626" t="s">
        <v>148</v>
      </c>
      <c r="D41" s="626" t="s">
        <v>141</v>
      </c>
      <c r="E41" s="627" t="s">
        <v>132</v>
      </c>
      <c r="F41" s="628">
        <v>2975</v>
      </c>
      <c r="G41" s="780">
        <v>25</v>
      </c>
      <c r="H41" s="629" t="s">
        <v>156</v>
      </c>
      <c r="I41" s="549"/>
      <c r="J41" s="310">
        <f>IFERROR(VLOOKUP(V41,プルダウンリスト!$D$15:$E$70,2,FALSE),"")</f>
        <v>6400</v>
      </c>
      <c r="K41" s="310">
        <f t="shared" si="0"/>
        <v>19040</v>
      </c>
      <c r="L41" s="549" t="s">
        <v>134</v>
      </c>
      <c r="M41" s="549" t="s">
        <v>134</v>
      </c>
      <c r="N41" s="549" t="s">
        <v>134</v>
      </c>
      <c r="O41" s="549" t="s">
        <v>134</v>
      </c>
      <c r="P41" s="549" t="s">
        <v>134</v>
      </c>
      <c r="Q41" s="631" t="s">
        <v>177</v>
      </c>
      <c r="R41" s="627" t="s">
        <v>1755</v>
      </c>
      <c r="S41" s="626" t="s">
        <v>136</v>
      </c>
      <c r="T41" s="550"/>
      <c r="U41"/>
      <c r="V41" s="404" t="str">
        <f t="shared" si="1"/>
        <v>田緩傾斜</v>
      </c>
    </row>
    <row r="42" spans="1:22">
      <c r="A42" s="625" t="s">
        <v>128</v>
      </c>
      <c r="B42" s="626" t="s">
        <v>129</v>
      </c>
      <c r="C42" s="626" t="s">
        <v>158</v>
      </c>
      <c r="D42" s="626" t="s">
        <v>131</v>
      </c>
      <c r="E42" s="627" t="s">
        <v>132</v>
      </c>
      <c r="F42" s="628">
        <v>1899</v>
      </c>
      <c r="G42" s="780">
        <v>15</v>
      </c>
      <c r="H42" s="629" t="s">
        <v>133</v>
      </c>
      <c r="I42" s="549"/>
      <c r="J42" s="310">
        <f>IFERROR(VLOOKUP(V42,プルダウンリスト!$D$15:$E$70,2,FALSE),"")</f>
        <v>16800</v>
      </c>
      <c r="K42" s="310">
        <f t="shared" ref="K42:K64" si="2">IFERROR(ROUNDDOWN(F42*J42/1000,0),"")</f>
        <v>31903</v>
      </c>
      <c r="L42" s="549" t="s">
        <v>134</v>
      </c>
      <c r="M42" s="549" t="s">
        <v>134</v>
      </c>
      <c r="N42" s="549" t="s">
        <v>134</v>
      </c>
      <c r="O42" s="549" t="s">
        <v>134</v>
      </c>
      <c r="P42" s="549" t="s">
        <v>134</v>
      </c>
      <c r="Q42" s="631" t="s">
        <v>135</v>
      </c>
      <c r="R42" s="627" t="s">
        <v>1756</v>
      </c>
      <c r="S42" s="626" t="s">
        <v>136</v>
      </c>
      <c r="T42" s="550"/>
      <c r="U42"/>
      <c r="V42" s="404" t="str">
        <f t="shared" ref="V42:V64" si="3">$T$14&amp;E42&amp;H42</f>
        <v>田急傾斜</v>
      </c>
    </row>
    <row r="43" spans="1:22">
      <c r="A43" s="625" t="s">
        <v>128</v>
      </c>
      <c r="B43" s="626" t="s">
        <v>129</v>
      </c>
      <c r="C43" s="626" t="s">
        <v>158</v>
      </c>
      <c r="D43" s="626" t="s">
        <v>137</v>
      </c>
      <c r="E43" s="627" t="s">
        <v>132</v>
      </c>
      <c r="F43" s="628">
        <v>988</v>
      </c>
      <c r="G43" s="780">
        <v>15</v>
      </c>
      <c r="H43" s="629" t="s">
        <v>133</v>
      </c>
      <c r="I43" s="549"/>
      <c r="J43" s="310">
        <f>IFERROR(VLOOKUP(V43,プルダウンリスト!$D$15:$E$70,2,FALSE),"")</f>
        <v>16800</v>
      </c>
      <c r="K43" s="310">
        <f t="shared" si="2"/>
        <v>16598</v>
      </c>
      <c r="L43" s="549" t="s">
        <v>134</v>
      </c>
      <c r="M43" s="549" t="s">
        <v>134</v>
      </c>
      <c r="N43" s="549" t="s">
        <v>134</v>
      </c>
      <c r="O43" s="549" t="s">
        <v>134</v>
      </c>
      <c r="P43" s="549" t="s">
        <v>134</v>
      </c>
      <c r="Q43" s="631" t="s">
        <v>135</v>
      </c>
      <c r="R43" s="627" t="s">
        <v>1756</v>
      </c>
      <c r="S43" s="626" t="s">
        <v>136</v>
      </c>
      <c r="T43" s="550"/>
      <c r="U43"/>
      <c r="V43" s="404" t="str">
        <f t="shared" si="3"/>
        <v>田急傾斜</v>
      </c>
    </row>
    <row r="44" spans="1:22">
      <c r="A44" s="625" t="s">
        <v>128</v>
      </c>
      <c r="B44" s="626" t="s">
        <v>129</v>
      </c>
      <c r="C44" s="626" t="s">
        <v>158</v>
      </c>
      <c r="D44" s="626" t="s">
        <v>138</v>
      </c>
      <c r="E44" s="627" t="s">
        <v>132</v>
      </c>
      <c r="F44" s="628">
        <v>782</v>
      </c>
      <c r="G44" s="780">
        <v>15</v>
      </c>
      <c r="H44" s="629" t="s">
        <v>133</v>
      </c>
      <c r="I44" s="549"/>
      <c r="J44" s="310">
        <f>IFERROR(VLOOKUP(V44,プルダウンリスト!$D$15:$E$70,2,FALSE),"")</f>
        <v>16800</v>
      </c>
      <c r="K44" s="310">
        <f t="shared" si="2"/>
        <v>13137</v>
      </c>
      <c r="L44" s="549" t="s">
        <v>134</v>
      </c>
      <c r="M44" s="549" t="s">
        <v>134</v>
      </c>
      <c r="N44" s="549" t="s">
        <v>134</v>
      </c>
      <c r="O44" s="549" t="s">
        <v>134</v>
      </c>
      <c r="P44" s="549" t="s">
        <v>134</v>
      </c>
      <c r="Q44" s="631" t="s">
        <v>135</v>
      </c>
      <c r="R44" s="627" t="s">
        <v>1756</v>
      </c>
      <c r="S44" s="626" t="s">
        <v>136</v>
      </c>
      <c r="T44" s="550"/>
      <c r="U44"/>
      <c r="V44" s="404" t="str">
        <f t="shared" si="3"/>
        <v>田急傾斜</v>
      </c>
    </row>
    <row r="45" spans="1:22">
      <c r="A45" s="625" t="s">
        <v>128</v>
      </c>
      <c r="B45" s="626" t="s">
        <v>129</v>
      </c>
      <c r="C45" s="626" t="s">
        <v>158</v>
      </c>
      <c r="D45" s="626" t="s">
        <v>141</v>
      </c>
      <c r="E45" s="627" t="s">
        <v>132</v>
      </c>
      <c r="F45" s="628">
        <v>854</v>
      </c>
      <c r="G45" s="780">
        <v>15</v>
      </c>
      <c r="H45" s="629" t="s">
        <v>133</v>
      </c>
      <c r="I45" s="549"/>
      <c r="J45" s="310">
        <f>IFERROR(VLOOKUP(V45,プルダウンリスト!$D$15:$E$70,2,FALSE),"")</f>
        <v>16800</v>
      </c>
      <c r="K45" s="310">
        <f t="shared" si="2"/>
        <v>14347</v>
      </c>
      <c r="L45" s="549" t="s">
        <v>134</v>
      </c>
      <c r="M45" s="549" t="s">
        <v>134</v>
      </c>
      <c r="N45" s="549" t="s">
        <v>134</v>
      </c>
      <c r="O45" s="549" t="s">
        <v>134</v>
      </c>
      <c r="P45" s="549" t="s">
        <v>134</v>
      </c>
      <c r="Q45" s="631" t="s">
        <v>135</v>
      </c>
      <c r="R45" s="627" t="s">
        <v>1756</v>
      </c>
      <c r="S45" s="626" t="s">
        <v>136</v>
      </c>
      <c r="T45" s="550"/>
      <c r="U45"/>
      <c r="V45" s="404" t="str">
        <f t="shared" si="3"/>
        <v>田急傾斜</v>
      </c>
    </row>
    <row r="46" spans="1:22">
      <c r="A46" s="625" t="s">
        <v>128</v>
      </c>
      <c r="B46" s="626" t="s">
        <v>129</v>
      </c>
      <c r="C46" s="626" t="s">
        <v>158</v>
      </c>
      <c r="D46" s="626" t="s">
        <v>142</v>
      </c>
      <c r="E46" s="627" t="s">
        <v>132</v>
      </c>
      <c r="F46" s="628">
        <v>821</v>
      </c>
      <c r="G46" s="780">
        <v>15</v>
      </c>
      <c r="H46" s="629" t="s">
        <v>133</v>
      </c>
      <c r="I46" s="549"/>
      <c r="J46" s="310">
        <f>IFERROR(VLOOKUP(V46,プルダウンリスト!$D$15:$E$70,2,FALSE),"")</f>
        <v>16800</v>
      </c>
      <c r="K46" s="310">
        <f t="shared" si="2"/>
        <v>13792</v>
      </c>
      <c r="L46" s="549" t="s">
        <v>134</v>
      </c>
      <c r="M46" s="549" t="s">
        <v>134</v>
      </c>
      <c r="N46" s="549" t="s">
        <v>134</v>
      </c>
      <c r="O46" s="549" t="s">
        <v>134</v>
      </c>
      <c r="P46" s="549" t="s">
        <v>134</v>
      </c>
      <c r="Q46" s="631" t="s">
        <v>135</v>
      </c>
      <c r="R46" s="627" t="s">
        <v>1756</v>
      </c>
      <c r="S46" s="626" t="s">
        <v>136</v>
      </c>
      <c r="T46" s="550"/>
      <c r="U46"/>
      <c r="V46" s="404" t="str">
        <f t="shared" si="3"/>
        <v>田急傾斜</v>
      </c>
    </row>
    <row r="47" spans="1:22">
      <c r="A47" s="625" t="s">
        <v>128</v>
      </c>
      <c r="B47" s="626" t="s">
        <v>129</v>
      </c>
      <c r="C47" s="626" t="s">
        <v>158</v>
      </c>
      <c r="D47" s="626" t="s">
        <v>143</v>
      </c>
      <c r="E47" s="627" t="s">
        <v>132</v>
      </c>
      <c r="F47" s="628">
        <v>485</v>
      </c>
      <c r="G47" s="780">
        <v>15</v>
      </c>
      <c r="H47" s="629" t="s">
        <v>133</v>
      </c>
      <c r="I47" s="549"/>
      <c r="J47" s="310">
        <f>IFERROR(VLOOKUP(V47,プルダウンリスト!$D$15:$E$70,2,FALSE),"")</f>
        <v>16800</v>
      </c>
      <c r="K47" s="310">
        <f t="shared" si="2"/>
        <v>8148</v>
      </c>
      <c r="L47" s="549" t="s">
        <v>134</v>
      </c>
      <c r="M47" s="549" t="s">
        <v>134</v>
      </c>
      <c r="N47" s="549" t="s">
        <v>134</v>
      </c>
      <c r="O47" s="549" t="s">
        <v>134</v>
      </c>
      <c r="P47" s="549" t="s">
        <v>134</v>
      </c>
      <c r="Q47" s="631" t="s">
        <v>135</v>
      </c>
      <c r="R47" s="627" t="s">
        <v>1756</v>
      </c>
      <c r="S47" s="626" t="s">
        <v>136</v>
      </c>
      <c r="T47" s="550"/>
      <c r="U47"/>
      <c r="V47" s="404" t="str">
        <f t="shared" si="3"/>
        <v>田急傾斜</v>
      </c>
    </row>
    <row r="48" spans="1:22">
      <c r="A48" s="625" t="s">
        <v>128</v>
      </c>
      <c r="B48" s="626" t="s">
        <v>129</v>
      </c>
      <c r="C48" s="626" t="s">
        <v>158</v>
      </c>
      <c r="D48" s="626" t="s">
        <v>144</v>
      </c>
      <c r="E48" s="627" t="s">
        <v>132</v>
      </c>
      <c r="F48" s="628">
        <v>645</v>
      </c>
      <c r="G48" s="780">
        <v>15</v>
      </c>
      <c r="H48" s="629" t="s">
        <v>133</v>
      </c>
      <c r="I48" s="549"/>
      <c r="J48" s="310">
        <f>IFERROR(VLOOKUP(V48,プルダウンリスト!$D$15:$E$70,2,FALSE),"")</f>
        <v>16800</v>
      </c>
      <c r="K48" s="310">
        <f t="shared" ref="K48:K54" si="4">IFERROR(ROUNDDOWN(F48*J48/1000,0),"")</f>
        <v>10836</v>
      </c>
      <c r="L48" s="549" t="s">
        <v>134</v>
      </c>
      <c r="M48" s="549" t="s">
        <v>134</v>
      </c>
      <c r="N48" s="549" t="s">
        <v>134</v>
      </c>
      <c r="O48" s="549" t="s">
        <v>134</v>
      </c>
      <c r="P48" s="549" t="s">
        <v>134</v>
      </c>
      <c r="Q48" s="631" t="s">
        <v>135</v>
      </c>
      <c r="R48" s="627" t="s">
        <v>1756</v>
      </c>
      <c r="S48" s="626" t="s">
        <v>136</v>
      </c>
      <c r="T48" s="550"/>
      <c r="U48"/>
      <c r="V48" s="404" t="str">
        <f t="shared" ref="V48:V54" si="5">$T$14&amp;E48&amp;H48</f>
        <v>田急傾斜</v>
      </c>
    </row>
    <row r="49" spans="1:29">
      <c r="A49" s="625" t="s">
        <v>128</v>
      </c>
      <c r="B49" s="626" t="s">
        <v>129</v>
      </c>
      <c r="C49" s="626" t="s">
        <v>158</v>
      </c>
      <c r="D49" s="626" t="s">
        <v>145</v>
      </c>
      <c r="E49" s="627" t="s">
        <v>132</v>
      </c>
      <c r="F49" s="628">
        <v>912</v>
      </c>
      <c r="G49" s="780">
        <v>15</v>
      </c>
      <c r="H49" s="629" t="s">
        <v>133</v>
      </c>
      <c r="I49" s="549"/>
      <c r="J49" s="310">
        <f>IFERROR(VLOOKUP(V49,プルダウンリスト!$D$15:$E$70,2,FALSE),"")</f>
        <v>16800</v>
      </c>
      <c r="K49" s="310">
        <f t="shared" si="4"/>
        <v>15321</v>
      </c>
      <c r="L49" s="549" t="s">
        <v>134</v>
      </c>
      <c r="M49" s="549" t="s">
        <v>134</v>
      </c>
      <c r="N49" s="549" t="s">
        <v>134</v>
      </c>
      <c r="O49" s="549" t="s">
        <v>134</v>
      </c>
      <c r="P49" s="549" t="s">
        <v>134</v>
      </c>
      <c r="Q49" s="631" t="s">
        <v>135</v>
      </c>
      <c r="R49" s="627" t="s">
        <v>1756</v>
      </c>
      <c r="S49" s="626" t="s">
        <v>136</v>
      </c>
      <c r="T49" s="550"/>
      <c r="U49"/>
      <c r="V49" s="404" t="str">
        <f t="shared" si="5"/>
        <v>田急傾斜</v>
      </c>
    </row>
    <row r="50" spans="1:29">
      <c r="A50" s="625" t="s">
        <v>128</v>
      </c>
      <c r="B50" s="626" t="s">
        <v>129</v>
      </c>
      <c r="C50" s="626" t="s">
        <v>158</v>
      </c>
      <c r="D50" s="626" t="s">
        <v>146</v>
      </c>
      <c r="E50" s="627" t="s">
        <v>132</v>
      </c>
      <c r="F50" s="628">
        <v>294</v>
      </c>
      <c r="G50" s="780">
        <v>15</v>
      </c>
      <c r="H50" s="629" t="s">
        <v>133</v>
      </c>
      <c r="I50" s="549"/>
      <c r="J50" s="310">
        <f>IFERROR(VLOOKUP(V50,プルダウンリスト!$D$15:$E$70,2,FALSE),"")</f>
        <v>16800</v>
      </c>
      <c r="K50" s="310">
        <f t="shared" si="4"/>
        <v>4939</v>
      </c>
      <c r="L50" s="549" t="s">
        <v>134</v>
      </c>
      <c r="M50" s="549" t="s">
        <v>134</v>
      </c>
      <c r="N50" s="549" t="s">
        <v>134</v>
      </c>
      <c r="O50" s="549" t="s">
        <v>134</v>
      </c>
      <c r="P50" s="549" t="s">
        <v>134</v>
      </c>
      <c r="Q50" s="631" t="s">
        <v>135</v>
      </c>
      <c r="R50" s="627" t="s">
        <v>1756</v>
      </c>
      <c r="S50" s="626" t="s">
        <v>136</v>
      </c>
      <c r="T50" s="550"/>
      <c r="U50"/>
      <c r="V50" s="404" t="str">
        <f t="shared" si="5"/>
        <v>田急傾斜</v>
      </c>
    </row>
    <row r="51" spans="1:29">
      <c r="A51" s="625" t="s">
        <v>128</v>
      </c>
      <c r="B51" s="626" t="s">
        <v>129</v>
      </c>
      <c r="C51" s="626" t="s">
        <v>158</v>
      </c>
      <c r="D51" s="626" t="s">
        <v>147</v>
      </c>
      <c r="E51" s="627" t="s">
        <v>132</v>
      </c>
      <c r="F51" s="628">
        <v>211</v>
      </c>
      <c r="G51" s="780">
        <v>15</v>
      </c>
      <c r="H51" s="629" t="s">
        <v>133</v>
      </c>
      <c r="I51" s="549"/>
      <c r="J51" s="310">
        <f>IFERROR(VLOOKUP(V51,プルダウンリスト!$D$15:$E$70,2,FALSE),"")</f>
        <v>16800</v>
      </c>
      <c r="K51" s="310">
        <f t="shared" si="4"/>
        <v>3544</v>
      </c>
      <c r="L51" s="549" t="s">
        <v>134</v>
      </c>
      <c r="M51" s="549" t="s">
        <v>134</v>
      </c>
      <c r="N51" s="549" t="s">
        <v>134</v>
      </c>
      <c r="O51" s="549" t="s">
        <v>134</v>
      </c>
      <c r="P51" s="549" t="s">
        <v>134</v>
      </c>
      <c r="Q51" s="631" t="s">
        <v>135</v>
      </c>
      <c r="R51" s="627" t="s">
        <v>1756</v>
      </c>
      <c r="S51" s="626" t="s">
        <v>136</v>
      </c>
      <c r="T51" s="550"/>
      <c r="U51"/>
      <c r="V51" s="404" t="str">
        <f t="shared" si="5"/>
        <v>田急傾斜</v>
      </c>
    </row>
    <row r="52" spans="1:29">
      <c r="A52" s="625" t="s">
        <v>128</v>
      </c>
      <c r="B52" s="626" t="s">
        <v>129</v>
      </c>
      <c r="C52" s="626" t="s">
        <v>158</v>
      </c>
      <c r="D52" s="626" t="s">
        <v>131</v>
      </c>
      <c r="E52" s="627" t="s">
        <v>132</v>
      </c>
      <c r="F52" s="628">
        <v>2010</v>
      </c>
      <c r="G52" s="780">
        <v>70</v>
      </c>
      <c r="H52" s="629" t="s">
        <v>156</v>
      </c>
      <c r="I52" s="549"/>
      <c r="J52" s="310">
        <f>IFERROR(VLOOKUP(V52,プルダウンリスト!$D$15:$E$70,2,FALSE),"")</f>
        <v>6400</v>
      </c>
      <c r="K52" s="310">
        <f t="shared" si="4"/>
        <v>12864</v>
      </c>
      <c r="L52" s="549" t="s">
        <v>134</v>
      </c>
      <c r="M52" s="549" t="s">
        <v>134</v>
      </c>
      <c r="N52" s="549" t="s">
        <v>134</v>
      </c>
      <c r="O52" s="549" t="s">
        <v>134</v>
      </c>
      <c r="P52" s="549" t="s">
        <v>134</v>
      </c>
      <c r="Q52" s="631" t="s">
        <v>135</v>
      </c>
      <c r="R52" s="627" t="s">
        <v>1756</v>
      </c>
      <c r="S52" s="626" t="s">
        <v>1754</v>
      </c>
      <c r="T52" s="632" t="s">
        <v>139</v>
      </c>
      <c r="U52"/>
      <c r="V52" s="404" t="str">
        <f t="shared" si="5"/>
        <v>田緩傾斜</v>
      </c>
    </row>
    <row r="53" spans="1:29">
      <c r="A53" s="625" t="s">
        <v>128</v>
      </c>
      <c r="B53" s="626" t="s">
        <v>129</v>
      </c>
      <c r="C53" s="626" t="s">
        <v>158</v>
      </c>
      <c r="D53" s="626" t="s">
        <v>137</v>
      </c>
      <c r="E53" s="627" t="s">
        <v>132</v>
      </c>
      <c r="F53" s="628">
        <v>3120</v>
      </c>
      <c r="G53" s="780">
        <v>70</v>
      </c>
      <c r="H53" s="629" t="s">
        <v>156</v>
      </c>
      <c r="I53" s="549"/>
      <c r="J53" s="310">
        <f>IFERROR(VLOOKUP(V53,プルダウンリスト!$D$15:$E$70,2,FALSE),"")</f>
        <v>6400</v>
      </c>
      <c r="K53" s="310">
        <f t="shared" si="4"/>
        <v>19968</v>
      </c>
      <c r="L53" s="549" t="s">
        <v>134</v>
      </c>
      <c r="M53" s="549" t="s">
        <v>134</v>
      </c>
      <c r="N53" s="549" t="s">
        <v>134</v>
      </c>
      <c r="O53" s="549" t="s">
        <v>134</v>
      </c>
      <c r="P53" s="549" t="s">
        <v>134</v>
      </c>
      <c r="Q53" s="631" t="s">
        <v>135</v>
      </c>
      <c r="R53" s="627" t="s">
        <v>1756</v>
      </c>
      <c r="S53" s="626" t="s">
        <v>1754</v>
      </c>
      <c r="T53" s="632" t="s">
        <v>139</v>
      </c>
      <c r="U53"/>
      <c r="V53" s="404" t="str">
        <f t="shared" si="5"/>
        <v>田緩傾斜</v>
      </c>
    </row>
    <row r="54" spans="1:29" s="146" customFormat="1">
      <c r="A54" s="625" t="s">
        <v>128</v>
      </c>
      <c r="B54" s="626" t="s">
        <v>129</v>
      </c>
      <c r="C54" s="626" t="s">
        <v>158</v>
      </c>
      <c r="D54" s="626" t="s">
        <v>138</v>
      </c>
      <c r="E54" s="627" t="s">
        <v>132</v>
      </c>
      <c r="F54" s="628">
        <v>598</v>
      </c>
      <c r="G54" s="780">
        <v>70</v>
      </c>
      <c r="H54" s="629" t="s">
        <v>156</v>
      </c>
      <c r="I54" s="549"/>
      <c r="J54" s="310">
        <f>IFERROR(VLOOKUP(V54,プルダウンリスト!$D$15:$E$70,2,FALSE),"")</f>
        <v>6400</v>
      </c>
      <c r="K54" s="310">
        <f t="shared" si="4"/>
        <v>3827</v>
      </c>
      <c r="L54" s="549" t="s">
        <v>134</v>
      </c>
      <c r="M54" s="549" t="s">
        <v>134</v>
      </c>
      <c r="N54" s="549" t="s">
        <v>134</v>
      </c>
      <c r="O54" s="549" t="s">
        <v>134</v>
      </c>
      <c r="P54" s="549" t="s">
        <v>134</v>
      </c>
      <c r="Q54" s="631" t="s">
        <v>135</v>
      </c>
      <c r="R54" s="627" t="s">
        <v>1756</v>
      </c>
      <c r="S54" s="626" t="s">
        <v>1754</v>
      </c>
      <c r="T54" s="632" t="s">
        <v>139</v>
      </c>
      <c r="U54"/>
      <c r="V54" s="404" t="str">
        <f t="shared" si="5"/>
        <v>田緩傾斜</v>
      </c>
      <c r="W54"/>
      <c r="X54"/>
      <c r="Y54"/>
      <c r="Z54"/>
      <c r="AA54"/>
      <c r="AB54"/>
      <c r="AC54"/>
    </row>
    <row r="55" spans="1:29">
      <c r="A55" s="625" t="s">
        <v>128</v>
      </c>
      <c r="B55" s="626" t="s">
        <v>129</v>
      </c>
      <c r="C55" s="626" t="s">
        <v>158</v>
      </c>
      <c r="D55" s="626" t="s">
        <v>141</v>
      </c>
      <c r="E55" s="627" t="s">
        <v>132</v>
      </c>
      <c r="F55" s="628">
        <v>2187</v>
      </c>
      <c r="G55" s="780">
        <v>70</v>
      </c>
      <c r="H55" s="629" t="s">
        <v>156</v>
      </c>
      <c r="I55" s="549"/>
      <c r="J55" s="310">
        <f>IFERROR(VLOOKUP(V55,プルダウンリスト!$D$15:$E$70,2,FALSE),"")</f>
        <v>6400</v>
      </c>
      <c r="K55" s="310">
        <f t="shared" si="2"/>
        <v>13996</v>
      </c>
      <c r="L55" s="549" t="s">
        <v>134</v>
      </c>
      <c r="M55" s="549" t="s">
        <v>134</v>
      </c>
      <c r="N55" s="549" t="s">
        <v>134</v>
      </c>
      <c r="O55" s="549" t="s">
        <v>134</v>
      </c>
      <c r="P55" s="549" t="s">
        <v>134</v>
      </c>
      <c r="Q55" s="631" t="s">
        <v>135</v>
      </c>
      <c r="R55" s="627" t="s">
        <v>1756</v>
      </c>
      <c r="S55" s="626" t="s">
        <v>1754</v>
      </c>
      <c r="T55" s="632" t="s">
        <v>139</v>
      </c>
      <c r="U55"/>
      <c r="V55" s="404" t="str">
        <f t="shared" si="3"/>
        <v>田緩傾斜</v>
      </c>
    </row>
    <row r="56" spans="1:29">
      <c r="A56" s="625" t="s">
        <v>128</v>
      </c>
      <c r="B56" s="626" t="s">
        <v>129</v>
      </c>
      <c r="C56" s="626" t="s">
        <v>158</v>
      </c>
      <c r="D56" s="626" t="s">
        <v>142</v>
      </c>
      <c r="E56" s="627" t="s">
        <v>132</v>
      </c>
      <c r="F56" s="628">
        <v>27</v>
      </c>
      <c r="G56" s="780">
        <v>70</v>
      </c>
      <c r="H56" s="629" t="s">
        <v>156</v>
      </c>
      <c r="I56" s="549"/>
      <c r="J56" s="310">
        <f>IFERROR(VLOOKUP(V56,プルダウンリスト!$D$15:$E$70,2,FALSE),"")</f>
        <v>6400</v>
      </c>
      <c r="K56" s="310">
        <f t="shared" si="2"/>
        <v>172</v>
      </c>
      <c r="L56" s="549" t="s">
        <v>134</v>
      </c>
      <c r="M56" s="549" t="s">
        <v>134</v>
      </c>
      <c r="N56" s="549" t="s">
        <v>134</v>
      </c>
      <c r="O56" s="549" t="s">
        <v>134</v>
      </c>
      <c r="P56" s="549" t="s">
        <v>134</v>
      </c>
      <c r="Q56" s="631" t="s">
        <v>135</v>
      </c>
      <c r="R56" s="627" t="s">
        <v>1756</v>
      </c>
      <c r="S56" s="626" t="s">
        <v>1754</v>
      </c>
      <c r="T56" s="632" t="s">
        <v>139</v>
      </c>
      <c r="U56"/>
      <c r="V56" s="404" t="str">
        <f t="shared" si="3"/>
        <v>田緩傾斜</v>
      </c>
    </row>
    <row r="57" spans="1:29">
      <c r="A57" s="625" t="s">
        <v>128</v>
      </c>
      <c r="B57" s="626" t="s">
        <v>129</v>
      </c>
      <c r="C57" s="626" t="s">
        <v>158</v>
      </c>
      <c r="D57" s="626" t="s">
        <v>143</v>
      </c>
      <c r="E57" s="627" t="s">
        <v>132</v>
      </c>
      <c r="F57" s="628">
        <v>712</v>
      </c>
      <c r="G57" s="780">
        <v>9</v>
      </c>
      <c r="H57" s="629" t="s">
        <v>133</v>
      </c>
      <c r="I57" s="549"/>
      <c r="J57" s="310">
        <f>IFERROR(VLOOKUP(V57,プルダウンリスト!$D$15:$E$70,2,FALSE),"")</f>
        <v>16800</v>
      </c>
      <c r="K57" s="310">
        <f t="shared" si="2"/>
        <v>11961</v>
      </c>
      <c r="L57" s="549" t="s">
        <v>134</v>
      </c>
      <c r="M57" s="630" t="s">
        <v>139</v>
      </c>
      <c r="N57" s="549" t="s">
        <v>134</v>
      </c>
      <c r="O57" s="549" t="s">
        <v>134</v>
      </c>
      <c r="P57" s="549" t="s">
        <v>134</v>
      </c>
      <c r="Q57" s="631" t="s">
        <v>135</v>
      </c>
      <c r="R57" s="627" t="s">
        <v>1756</v>
      </c>
      <c r="S57" s="626" t="s">
        <v>136</v>
      </c>
      <c r="T57" s="550"/>
      <c r="U57"/>
      <c r="V57" s="404" t="str">
        <f t="shared" si="3"/>
        <v>田急傾斜</v>
      </c>
    </row>
    <row r="58" spans="1:29">
      <c r="A58" s="625" t="s">
        <v>128</v>
      </c>
      <c r="B58" s="626" t="s">
        <v>129</v>
      </c>
      <c r="C58" s="626" t="s">
        <v>158</v>
      </c>
      <c r="D58" s="626" t="s">
        <v>144</v>
      </c>
      <c r="E58" s="627" t="s">
        <v>132</v>
      </c>
      <c r="F58" s="628">
        <v>286</v>
      </c>
      <c r="G58" s="780">
        <v>9</v>
      </c>
      <c r="H58" s="629" t="s">
        <v>133</v>
      </c>
      <c r="I58" s="549"/>
      <c r="J58" s="310">
        <f>IFERROR(VLOOKUP(V58,プルダウンリスト!$D$15:$E$70,2,FALSE),"")</f>
        <v>16800</v>
      </c>
      <c r="K58" s="310">
        <f t="shared" si="2"/>
        <v>4804</v>
      </c>
      <c r="L58" s="549" t="s">
        <v>134</v>
      </c>
      <c r="M58" s="630" t="s">
        <v>139</v>
      </c>
      <c r="N58" s="549" t="s">
        <v>134</v>
      </c>
      <c r="O58" s="549" t="s">
        <v>134</v>
      </c>
      <c r="P58" s="549" t="s">
        <v>134</v>
      </c>
      <c r="Q58" s="631" t="s">
        <v>135</v>
      </c>
      <c r="R58" s="627" t="s">
        <v>1756</v>
      </c>
      <c r="S58" s="626" t="s">
        <v>136</v>
      </c>
      <c r="T58" s="550"/>
      <c r="U58"/>
      <c r="V58" s="404" t="str">
        <f t="shared" si="3"/>
        <v>田急傾斜</v>
      </c>
    </row>
    <row r="59" spans="1:29">
      <c r="A59" s="625" t="s">
        <v>128</v>
      </c>
      <c r="B59" s="626" t="s">
        <v>129</v>
      </c>
      <c r="C59" s="626" t="s">
        <v>158</v>
      </c>
      <c r="D59" s="626" t="s">
        <v>145</v>
      </c>
      <c r="E59" s="627" t="s">
        <v>132</v>
      </c>
      <c r="F59" s="628">
        <v>483</v>
      </c>
      <c r="G59" s="780">
        <v>9</v>
      </c>
      <c r="H59" s="629" t="s">
        <v>133</v>
      </c>
      <c r="I59" s="549"/>
      <c r="J59" s="310">
        <f>IFERROR(VLOOKUP(V59,プルダウンリスト!$D$15:$E$70,2,FALSE),"")</f>
        <v>16800</v>
      </c>
      <c r="K59" s="310">
        <f t="shared" si="2"/>
        <v>8114</v>
      </c>
      <c r="L59" s="549" t="s">
        <v>134</v>
      </c>
      <c r="M59" s="630" t="s">
        <v>139</v>
      </c>
      <c r="N59" s="549" t="s">
        <v>134</v>
      </c>
      <c r="O59" s="549" t="s">
        <v>134</v>
      </c>
      <c r="P59" s="549" t="s">
        <v>134</v>
      </c>
      <c r="Q59" s="631" t="s">
        <v>135</v>
      </c>
      <c r="R59" s="627" t="s">
        <v>1756</v>
      </c>
      <c r="S59" s="626" t="s">
        <v>136</v>
      </c>
      <c r="T59" s="550"/>
      <c r="U59"/>
      <c r="V59" s="404" t="str">
        <f t="shared" si="3"/>
        <v>田急傾斜</v>
      </c>
    </row>
    <row r="60" spans="1:29">
      <c r="A60" s="625" t="s">
        <v>128</v>
      </c>
      <c r="B60" s="626" t="s">
        <v>129</v>
      </c>
      <c r="C60" s="626" t="s">
        <v>158</v>
      </c>
      <c r="D60" s="626" t="s">
        <v>146</v>
      </c>
      <c r="E60" s="627" t="s">
        <v>132</v>
      </c>
      <c r="F60" s="628">
        <v>252</v>
      </c>
      <c r="G60" s="780">
        <v>9</v>
      </c>
      <c r="H60" s="629" t="s">
        <v>133</v>
      </c>
      <c r="I60" s="549"/>
      <c r="J60" s="310">
        <f>IFERROR(VLOOKUP(V60,プルダウンリスト!$D$15:$E$70,2,FALSE),"")</f>
        <v>16800</v>
      </c>
      <c r="K60" s="310">
        <f t="shared" si="2"/>
        <v>4233</v>
      </c>
      <c r="L60" s="549" t="s">
        <v>134</v>
      </c>
      <c r="M60" s="630" t="s">
        <v>139</v>
      </c>
      <c r="N60" s="549" t="s">
        <v>134</v>
      </c>
      <c r="O60" s="549" t="s">
        <v>134</v>
      </c>
      <c r="P60" s="549" t="s">
        <v>134</v>
      </c>
      <c r="Q60" s="631" t="s">
        <v>135</v>
      </c>
      <c r="R60" s="627" t="s">
        <v>1756</v>
      </c>
      <c r="S60" s="626" t="s">
        <v>136</v>
      </c>
      <c r="T60" s="550"/>
      <c r="U60"/>
      <c r="V60" s="404" t="str">
        <f t="shared" si="3"/>
        <v>田急傾斜</v>
      </c>
    </row>
    <row r="61" spans="1:29" s="146" customFormat="1">
      <c r="A61" s="625" t="s">
        <v>128</v>
      </c>
      <c r="B61" s="626" t="s">
        <v>129</v>
      </c>
      <c r="C61" s="626" t="s">
        <v>158</v>
      </c>
      <c r="D61" s="626" t="s">
        <v>147</v>
      </c>
      <c r="E61" s="627" t="s">
        <v>132</v>
      </c>
      <c r="F61" s="628">
        <v>280</v>
      </c>
      <c r="G61" s="780">
        <v>9</v>
      </c>
      <c r="H61" s="629" t="s">
        <v>133</v>
      </c>
      <c r="I61" s="549"/>
      <c r="J61" s="310">
        <f>IFERROR(VLOOKUP(V61,プルダウンリスト!$D$15:$E$70,2,FALSE),"")</f>
        <v>16800</v>
      </c>
      <c r="K61" s="310">
        <f t="shared" si="2"/>
        <v>4704</v>
      </c>
      <c r="L61" s="549" t="s">
        <v>134</v>
      </c>
      <c r="M61" s="630" t="s">
        <v>139</v>
      </c>
      <c r="N61" s="549" t="s">
        <v>134</v>
      </c>
      <c r="O61" s="549" t="s">
        <v>134</v>
      </c>
      <c r="P61" s="549" t="s">
        <v>134</v>
      </c>
      <c r="Q61" s="631" t="s">
        <v>135</v>
      </c>
      <c r="R61" s="627" t="s">
        <v>1756</v>
      </c>
      <c r="S61" s="626" t="s">
        <v>136</v>
      </c>
      <c r="T61" s="550"/>
      <c r="U61"/>
      <c r="V61" s="404" t="str">
        <f t="shared" si="3"/>
        <v>田急傾斜</v>
      </c>
      <c r="W61"/>
      <c r="X61"/>
      <c r="Y61"/>
      <c r="Z61"/>
      <c r="AA61"/>
      <c r="AB61"/>
      <c r="AC61"/>
    </row>
    <row r="62" spans="1:29">
      <c r="A62" s="305"/>
      <c r="B62" s="306"/>
      <c r="C62" s="306"/>
      <c r="D62" s="306"/>
      <c r="E62" s="307"/>
      <c r="F62" s="308"/>
      <c r="G62" s="623"/>
      <c r="H62" s="309"/>
      <c r="I62" s="549"/>
      <c r="J62" s="310" t="str">
        <f>IFERROR(VLOOKUP(V62,プルダウンリスト!$D$15:$E$70,2,FALSE),"")</f>
        <v/>
      </c>
      <c r="K62" s="310" t="str">
        <f t="shared" si="2"/>
        <v/>
      </c>
      <c r="L62" s="549" t="s">
        <v>134</v>
      </c>
      <c r="M62" s="549" t="s">
        <v>134</v>
      </c>
      <c r="N62" s="549" t="s">
        <v>134</v>
      </c>
      <c r="O62" s="549" t="s">
        <v>134</v>
      </c>
      <c r="P62" s="549" t="s">
        <v>134</v>
      </c>
      <c r="Q62" s="311"/>
      <c r="R62" s="307"/>
      <c r="S62" s="306"/>
      <c r="T62" s="550"/>
      <c r="U62"/>
      <c r="V62" s="404" t="str">
        <f t="shared" si="3"/>
        <v/>
      </c>
    </row>
    <row r="63" spans="1:29" s="146" customFormat="1" ht="23.25" customHeight="1">
      <c r="A63" s="305"/>
      <c r="B63" s="306"/>
      <c r="C63" s="306"/>
      <c r="D63" s="306"/>
      <c r="E63" s="307"/>
      <c r="F63" s="308"/>
      <c r="G63" s="623"/>
      <c r="H63" s="309"/>
      <c r="I63" s="549"/>
      <c r="J63" s="310" t="str">
        <f>IFERROR(VLOOKUP(V63,プルダウンリスト!$D$15:$E$70,2,FALSE),"")</f>
        <v/>
      </c>
      <c r="K63" s="310" t="str">
        <f t="shared" si="2"/>
        <v/>
      </c>
      <c r="L63" s="549" t="s">
        <v>134</v>
      </c>
      <c r="M63" s="549" t="s">
        <v>134</v>
      </c>
      <c r="N63" s="549" t="s">
        <v>134</v>
      </c>
      <c r="O63" s="549" t="s">
        <v>134</v>
      </c>
      <c r="P63" s="549" t="s">
        <v>134</v>
      </c>
      <c r="Q63" s="311"/>
      <c r="R63" s="307"/>
      <c r="S63" s="306"/>
      <c r="T63" s="550"/>
      <c r="U63"/>
      <c r="V63" s="404" t="str">
        <f t="shared" si="3"/>
        <v/>
      </c>
      <c r="W63"/>
      <c r="X63"/>
      <c r="Y63"/>
      <c r="Z63"/>
      <c r="AA63"/>
      <c r="AB63"/>
      <c r="AC63"/>
    </row>
    <row r="64" spans="1:29" s="146" customFormat="1">
      <c r="A64" s="305"/>
      <c r="B64" s="306"/>
      <c r="C64" s="306"/>
      <c r="D64" s="306"/>
      <c r="E64" s="307"/>
      <c r="F64" s="308"/>
      <c r="G64" s="623"/>
      <c r="H64" s="309"/>
      <c r="I64" s="549"/>
      <c r="J64" s="310" t="str">
        <f>IFERROR(VLOOKUP(V64,プルダウンリスト!$D$15:$E$70,2,FALSE),"")</f>
        <v/>
      </c>
      <c r="K64" s="310" t="str">
        <f t="shared" si="2"/>
        <v/>
      </c>
      <c r="L64" s="549" t="s">
        <v>134</v>
      </c>
      <c r="M64" s="549" t="s">
        <v>134</v>
      </c>
      <c r="N64" s="549" t="s">
        <v>134</v>
      </c>
      <c r="O64" s="549" t="s">
        <v>134</v>
      </c>
      <c r="P64" s="549" t="s">
        <v>134</v>
      </c>
      <c r="Q64" s="311"/>
      <c r="R64" s="307"/>
      <c r="S64" s="306"/>
      <c r="T64" s="550"/>
      <c r="U64"/>
      <c r="V64" s="404" t="str">
        <f t="shared" si="3"/>
        <v/>
      </c>
      <c r="W64"/>
      <c r="X64"/>
      <c r="Y64"/>
      <c r="Z64"/>
      <c r="AA64"/>
      <c r="AB64"/>
      <c r="AC64"/>
    </row>
    <row r="65" spans="1:29" s="146" customFormat="1" ht="21">
      <c r="A65" s="888" t="s">
        <v>166</v>
      </c>
      <c r="B65" s="889"/>
      <c r="C65" s="889"/>
      <c r="D65" s="889"/>
      <c r="E65" s="889"/>
      <c r="F65" s="889"/>
      <c r="G65" s="889"/>
      <c r="H65" s="889"/>
      <c r="I65" s="889"/>
      <c r="J65" s="889"/>
      <c r="K65" s="889"/>
      <c r="L65" s="889"/>
      <c r="M65" s="889"/>
      <c r="N65" s="889"/>
      <c r="O65" s="889"/>
      <c r="P65" s="889"/>
      <c r="Q65" s="889"/>
      <c r="R65" s="889"/>
      <c r="S65" s="889"/>
      <c r="T65" s="890"/>
      <c r="U65" s="148"/>
      <c r="V65" s="602"/>
    </row>
    <row r="66" spans="1:29" s="146" customFormat="1" ht="29.25" thickBot="1">
      <c r="A66" s="153"/>
      <c r="B66" s="154"/>
      <c r="C66" s="154"/>
      <c r="D66" s="154"/>
      <c r="E66" s="154"/>
      <c r="F66" s="155">
        <f>SUM(F18:F64)</f>
        <v>41962</v>
      </c>
      <c r="G66" s="624"/>
      <c r="H66" s="156"/>
      <c r="I66" s="157"/>
      <c r="J66" s="156"/>
      <c r="K66" s="158"/>
      <c r="L66" s="154"/>
      <c r="M66" s="154"/>
      <c r="N66" s="154"/>
      <c r="O66" s="154"/>
      <c r="P66" s="154"/>
      <c r="Q66" s="156"/>
      <c r="R66" s="157"/>
      <c r="S66" s="154"/>
      <c r="T66" s="159"/>
      <c r="U66" s="160"/>
      <c r="V66" s="405" t="s">
        <v>167</v>
      </c>
      <c r="W66"/>
      <c r="X66"/>
      <c r="Y66"/>
      <c r="Z66"/>
      <c r="AA66"/>
      <c r="AB66"/>
      <c r="AC66"/>
    </row>
    <row r="67" spans="1:29" s="146" customFormat="1">
      <c r="A67" s="200"/>
      <c r="V67" s="147"/>
    </row>
    <row r="68" spans="1:29" s="146" customFormat="1">
      <c r="V68" s="147"/>
    </row>
    <row r="69" spans="1:29">
      <c r="A69" s="146" t="s">
        <v>168</v>
      </c>
    </row>
  </sheetData>
  <sheetProtection formatCells="0" formatColumns="0" formatRows="0" insertColumns="0" insertRows="0" insertHyperlinks="0" deleteColumns="0" deleteRows="0" sort="0" autoFilter="0" pivotTables="0"/>
  <mergeCells count="22">
    <mergeCell ref="A65:T65"/>
    <mergeCell ref="H8:H9"/>
    <mergeCell ref="C6:D6"/>
    <mergeCell ref="C7:D7"/>
    <mergeCell ref="C8:D8"/>
    <mergeCell ref="C9:D9"/>
    <mergeCell ref="A2:T2"/>
    <mergeCell ref="A12:T13"/>
    <mergeCell ref="V12:V16"/>
    <mergeCell ref="A4:T4"/>
    <mergeCell ref="S16:S17"/>
    <mergeCell ref="T16:T17"/>
    <mergeCell ref="Q16:R16"/>
    <mergeCell ref="Q14:S14"/>
    <mergeCell ref="Q15:S15"/>
    <mergeCell ref="A14:I16"/>
    <mergeCell ref="J14:J16"/>
    <mergeCell ref="L14:P15"/>
    <mergeCell ref="C10:D10"/>
    <mergeCell ref="F6:F7"/>
    <mergeCell ref="F8:F9"/>
    <mergeCell ref="H6:H7"/>
  </mergeCells>
  <phoneticPr fontId="3"/>
  <conditionalFormatting sqref="C6:D10">
    <cfRule type="duplicateValues" dxfId="5" priority="42"/>
  </conditionalFormatting>
  <conditionalFormatting sqref="T14:T15">
    <cfRule type="duplicateValues" dxfId="4" priority="2"/>
  </conditionalFormatting>
  <dataValidations xWindow="1134" yWindow="882" count="11">
    <dataValidation allowBlank="1" showInputMessage="1" showErrorMessage="1" error="「〇」以外は入力できません。" sqref="H8:H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ネットワーク化活動計画の作成の有無を選択" sqref="T14:T15">
      <formula1>"　,〇,"</formula1>
    </dataValidation>
    <dataValidation type="list" allowBlank="1" showInputMessage="1" prompt="通常地域、特認地域から選択" sqref="A65">
      <formula1>"通常地域,特認地域"</formula1>
    </dataValidation>
    <dataValidation type="list" allowBlank="1" showInputMessage="1" showErrorMessage="1" prompt="該当する場合に「〇」を記載" sqref="I18:I64">
      <formula1>"　,〇,"</formula1>
    </dataValidation>
    <dataValidation type="list" allowBlank="1" showInputMessage="1" prompt="通常地域（8法内）、通常地域（8法外で棚田法の交付対象農用地）、特認地域から選択" sqref="A18:A64">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E18:E64">
      <formula1>地目</formula1>
    </dataValidation>
    <dataValidation type="list" allowBlank="1" showInputMessage="1" prompt="該当する場合に「〇」を記載" sqref="T18:T64">
      <formula1>"〇"</formula1>
    </dataValidation>
    <dataValidation type="decimal" operator="greaterThanOrEqual" allowBlank="1" showInputMessage="1" showErrorMessage="1" error="数値を半角で記載してください。" sqref="F18:G64">
      <formula1>0</formula1>
    </dataValidation>
    <dataValidation type="list" allowBlank="1" showInputMessage="1" showErrorMessage="1" error="「〇」以外は入力できません。" prompt="活用する加算に「〇」を記載" sqref="L18:P64">
      <formula1>"　,〇,"</formula1>
    </dataValidation>
    <dataValidation type="list" allowBlank="1" showInputMessage="1" showErrorMessage="1" error="該当する傾斜等を選択してください。" prompt="該当する交付基準（傾斜等）を選択" sqref="H18:H64">
      <formula1>INDIRECT(E18)</formula1>
    </dataValidation>
  </dataValidations>
  <pageMargins left="0.51181102362204722" right="0.51181102362204722" top="0.74803149606299213" bottom="0.74803149606299213" header="0.31496062992125984" footer="0.31496062992125984"/>
  <pageSetup paperSize="9" scale="75" fitToHeight="0" orientation="landscape" r:id="rId1"/>
  <rowBreaks count="2" manualBreakCount="2">
    <brk id="34" max="19" man="1"/>
    <brk id="57" max="19"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Q18:Q64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34998626667073579"/>
  </sheetPr>
  <dimension ref="A1:E82"/>
  <sheetViews>
    <sheetView workbookViewId="0"/>
  </sheetViews>
  <sheetFormatPr defaultRowHeight="13.5"/>
  <cols>
    <col min="1" max="1" width="33.375" customWidth="1"/>
    <col min="2" max="4" width="33.25" customWidth="1"/>
    <col min="5" max="5" width="17.875" customWidth="1"/>
  </cols>
  <sheetData>
    <row r="1" spans="1:5">
      <c r="A1" t="s">
        <v>169</v>
      </c>
    </row>
    <row r="2" spans="1:5">
      <c r="A2" s="75" t="s">
        <v>132</v>
      </c>
      <c r="B2" s="75" t="s">
        <v>153</v>
      </c>
      <c r="C2" s="75" t="s">
        <v>157</v>
      </c>
      <c r="D2" s="75" t="s">
        <v>163</v>
      </c>
    </row>
    <row r="3" spans="1:5">
      <c r="A3" s="74" t="s">
        <v>133</v>
      </c>
      <c r="B3" s="74" t="s">
        <v>133</v>
      </c>
      <c r="C3" s="74" t="s">
        <v>133</v>
      </c>
      <c r="D3" s="74" t="s">
        <v>133</v>
      </c>
    </row>
    <row r="4" spans="1:5">
      <c r="A4" s="74" t="s">
        <v>156</v>
      </c>
      <c r="B4" s="74" t="s">
        <v>156</v>
      </c>
      <c r="C4" s="74" t="s">
        <v>156</v>
      </c>
      <c r="D4" s="74" t="s">
        <v>156</v>
      </c>
    </row>
    <row r="5" spans="1:5">
      <c r="A5" s="74" t="s">
        <v>159</v>
      </c>
      <c r="B5" s="74" t="s">
        <v>150</v>
      </c>
      <c r="C5" s="74" t="s">
        <v>150</v>
      </c>
      <c r="D5" s="74" t="s">
        <v>151</v>
      </c>
    </row>
    <row r="6" spans="1:5">
      <c r="A6" s="74" t="s">
        <v>150</v>
      </c>
      <c r="B6" s="74" t="s">
        <v>151</v>
      </c>
      <c r="C6" s="74" t="s">
        <v>160</v>
      </c>
      <c r="D6" s="74" t="s">
        <v>164</v>
      </c>
    </row>
    <row r="7" spans="1:5">
      <c r="A7" s="74" t="s">
        <v>151</v>
      </c>
      <c r="B7" s="74" t="s">
        <v>155</v>
      </c>
      <c r="C7" s="74" t="s">
        <v>151</v>
      </c>
      <c r="D7" s="74" t="s">
        <v>165</v>
      </c>
    </row>
    <row r="8" spans="1:5">
      <c r="A8" s="74" t="s">
        <v>152</v>
      </c>
      <c r="B8" s="74" t="s">
        <v>154</v>
      </c>
      <c r="C8" s="74" t="s">
        <v>162</v>
      </c>
      <c r="D8" s="74" t="s">
        <v>170</v>
      </c>
    </row>
    <row r="9" spans="1:5">
      <c r="A9" s="74" t="s">
        <v>170</v>
      </c>
      <c r="B9" s="74" t="s">
        <v>170</v>
      </c>
      <c r="C9" s="74" t="s">
        <v>161</v>
      </c>
      <c r="D9" s="74"/>
    </row>
    <row r="10" spans="1:5">
      <c r="A10" s="74"/>
      <c r="B10" s="74"/>
      <c r="C10" s="74" t="s">
        <v>170</v>
      </c>
      <c r="D10" s="74"/>
    </row>
    <row r="13" spans="1:5">
      <c r="A13" t="s">
        <v>171</v>
      </c>
    </row>
    <row r="14" spans="1:5">
      <c r="A14" s="75" t="s">
        <v>172</v>
      </c>
      <c r="B14" s="75" t="s">
        <v>119</v>
      </c>
      <c r="C14" s="75" t="s">
        <v>173</v>
      </c>
      <c r="D14" s="75" t="s">
        <v>174</v>
      </c>
      <c r="E14" s="75" t="s">
        <v>175</v>
      </c>
    </row>
    <row r="15" spans="1:5">
      <c r="A15" s="74" t="s">
        <v>167</v>
      </c>
      <c r="B15" s="74" t="s">
        <v>132</v>
      </c>
      <c r="C15" s="74" t="s">
        <v>133</v>
      </c>
      <c r="D15" s="71" t="str">
        <f>A15&amp;B15&amp;C15</f>
        <v>〇田急傾斜</v>
      </c>
      <c r="E15" s="445">
        <v>21000</v>
      </c>
    </row>
    <row r="16" spans="1:5">
      <c r="A16" s="74" t="s">
        <v>167</v>
      </c>
      <c r="B16" s="74" t="s">
        <v>132</v>
      </c>
      <c r="C16" s="74" t="s">
        <v>156</v>
      </c>
      <c r="D16" s="71" t="str">
        <f t="shared" ref="D16:D22" si="0">A16&amp;B16&amp;C16</f>
        <v>〇田緩傾斜</v>
      </c>
      <c r="E16" s="445">
        <v>8000</v>
      </c>
    </row>
    <row r="17" spans="1:5">
      <c r="A17" s="74" t="s">
        <v>167</v>
      </c>
      <c r="B17" s="74" t="s">
        <v>132</v>
      </c>
      <c r="C17" s="74" t="s">
        <v>159</v>
      </c>
      <c r="D17" s="71" t="str">
        <f t="shared" si="0"/>
        <v>〇田小区画・不整形</v>
      </c>
      <c r="E17" s="445">
        <v>8000</v>
      </c>
    </row>
    <row r="18" spans="1:5">
      <c r="A18" s="74" t="s">
        <v>167</v>
      </c>
      <c r="B18" s="74" t="s">
        <v>132</v>
      </c>
      <c r="C18" s="74" t="s">
        <v>150</v>
      </c>
      <c r="D18" s="71" t="str">
        <f t="shared" si="0"/>
        <v>〇田高齢化・耕作放棄率</v>
      </c>
      <c r="E18" s="445">
        <v>8000</v>
      </c>
    </row>
    <row r="19" spans="1:5">
      <c r="A19" s="74" t="s">
        <v>167</v>
      </c>
      <c r="B19" s="74" t="s">
        <v>132</v>
      </c>
      <c r="C19" s="74" t="s">
        <v>151</v>
      </c>
      <c r="D19" s="71" t="str">
        <f t="shared" si="0"/>
        <v>〇田特認基準</v>
      </c>
      <c r="E19" s="445">
        <v>8000</v>
      </c>
    </row>
    <row r="20" spans="1:5">
      <c r="A20" s="74" t="s">
        <v>167</v>
      </c>
      <c r="B20" s="74" t="s">
        <v>132</v>
      </c>
      <c r="C20" s="74" t="s">
        <v>152</v>
      </c>
      <c r="D20" s="71" t="str">
        <f t="shared" si="0"/>
        <v>〇田交付対象外</v>
      </c>
      <c r="E20" s="445">
        <v>0</v>
      </c>
    </row>
    <row r="21" spans="1:5">
      <c r="A21" s="74" t="s">
        <v>167</v>
      </c>
      <c r="B21" s="74" t="s">
        <v>132</v>
      </c>
      <c r="C21" s="74" t="s">
        <v>170</v>
      </c>
      <c r="D21" s="71" t="str">
        <f t="shared" si="0"/>
        <v>〇田協定に含めない管理すべき農用地</v>
      </c>
      <c r="E21" s="445">
        <v>0</v>
      </c>
    </row>
    <row r="22" spans="1:5">
      <c r="A22" s="74" t="s">
        <v>167</v>
      </c>
      <c r="B22" s="74" t="s">
        <v>153</v>
      </c>
      <c r="C22" s="74" t="s">
        <v>133</v>
      </c>
      <c r="D22" s="71" t="str">
        <f t="shared" si="0"/>
        <v>〇畑急傾斜</v>
      </c>
      <c r="E22" s="445">
        <v>11500</v>
      </c>
    </row>
    <row r="23" spans="1:5">
      <c r="A23" s="74" t="s">
        <v>167</v>
      </c>
      <c r="B23" s="74" t="s">
        <v>153</v>
      </c>
      <c r="C23" s="74" t="s">
        <v>156</v>
      </c>
      <c r="D23" s="71" t="str">
        <f t="shared" ref="D23:D42" si="1">A23&amp;B23&amp;C23</f>
        <v>〇畑緩傾斜</v>
      </c>
      <c r="E23" s="445">
        <v>3500</v>
      </c>
    </row>
    <row r="24" spans="1:5">
      <c r="A24" s="74" t="s">
        <v>167</v>
      </c>
      <c r="B24" s="74" t="s">
        <v>153</v>
      </c>
      <c r="C24" s="74" t="s">
        <v>150</v>
      </c>
      <c r="D24" s="71" t="str">
        <f t="shared" si="1"/>
        <v>〇畑高齢化・耕作放棄率</v>
      </c>
      <c r="E24" s="445">
        <v>3500</v>
      </c>
    </row>
    <row r="25" spans="1:5">
      <c r="A25" s="74" t="s">
        <v>167</v>
      </c>
      <c r="B25" s="74" t="s">
        <v>153</v>
      </c>
      <c r="C25" s="74" t="s">
        <v>151</v>
      </c>
      <c r="D25" s="71" t="str">
        <f t="shared" si="1"/>
        <v>〇畑特認基準</v>
      </c>
      <c r="E25" s="445">
        <v>3500</v>
      </c>
    </row>
    <row r="26" spans="1:5">
      <c r="A26" s="74" t="s">
        <v>167</v>
      </c>
      <c r="B26" s="74" t="s">
        <v>153</v>
      </c>
      <c r="C26" s="74" t="s">
        <v>155</v>
      </c>
      <c r="D26" s="71" t="str">
        <f t="shared" si="1"/>
        <v>〇畑交付対象外（田畑混在地）</v>
      </c>
      <c r="E26" s="445">
        <v>0</v>
      </c>
    </row>
    <row r="27" spans="1:5">
      <c r="A27" s="74" t="s">
        <v>167</v>
      </c>
      <c r="B27" s="74" t="s">
        <v>153</v>
      </c>
      <c r="C27" s="74" t="s">
        <v>154</v>
      </c>
      <c r="D27" s="71" t="str">
        <f t="shared" si="1"/>
        <v>〇畑交付対象外（田畑混在地以外）</v>
      </c>
      <c r="E27" s="445">
        <v>0</v>
      </c>
    </row>
    <row r="28" spans="1:5">
      <c r="A28" s="74" t="s">
        <v>167</v>
      </c>
      <c r="B28" s="74" t="s">
        <v>153</v>
      </c>
      <c r="C28" s="74" t="s">
        <v>170</v>
      </c>
      <c r="D28" s="71" t="str">
        <f t="shared" si="1"/>
        <v>〇畑協定に含めない管理すべき農用地</v>
      </c>
      <c r="E28" s="445">
        <v>0</v>
      </c>
    </row>
    <row r="29" spans="1:5">
      <c r="A29" s="74" t="s">
        <v>167</v>
      </c>
      <c r="B29" s="74" t="s">
        <v>157</v>
      </c>
      <c r="C29" s="74" t="s">
        <v>133</v>
      </c>
      <c r="D29" s="71" t="str">
        <f t="shared" si="1"/>
        <v>〇草地急傾斜</v>
      </c>
      <c r="E29" s="445">
        <v>10500</v>
      </c>
    </row>
    <row r="30" spans="1:5">
      <c r="A30" s="74" t="s">
        <v>167</v>
      </c>
      <c r="B30" s="74" t="s">
        <v>157</v>
      </c>
      <c r="C30" s="74" t="s">
        <v>156</v>
      </c>
      <c r="D30" s="71" t="str">
        <f t="shared" si="1"/>
        <v>〇草地緩傾斜</v>
      </c>
      <c r="E30" s="445">
        <v>3000</v>
      </c>
    </row>
    <row r="31" spans="1:5">
      <c r="A31" s="74" t="s">
        <v>167</v>
      </c>
      <c r="B31" s="74" t="s">
        <v>157</v>
      </c>
      <c r="C31" s="74" t="s">
        <v>150</v>
      </c>
      <c r="D31" s="71" t="str">
        <f t="shared" si="1"/>
        <v>〇草地高齢化・耕作放棄率</v>
      </c>
      <c r="E31" s="445">
        <v>3000</v>
      </c>
    </row>
    <row r="32" spans="1:5">
      <c r="A32" s="74" t="s">
        <v>167</v>
      </c>
      <c r="B32" s="74" t="s">
        <v>157</v>
      </c>
      <c r="C32" s="74" t="s">
        <v>160</v>
      </c>
      <c r="D32" s="71" t="str">
        <f t="shared" si="1"/>
        <v>〇草地草地比率の高い草地</v>
      </c>
      <c r="E32" s="445">
        <v>1500</v>
      </c>
    </row>
    <row r="33" spans="1:5">
      <c r="A33" s="74" t="s">
        <v>167</v>
      </c>
      <c r="B33" s="74" t="s">
        <v>157</v>
      </c>
      <c r="C33" s="74" t="s">
        <v>151</v>
      </c>
      <c r="D33" s="71" t="str">
        <f t="shared" si="1"/>
        <v>〇草地特認基準</v>
      </c>
      <c r="E33" s="445">
        <v>3000</v>
      </c>
    </row>
    <row r="34" spans="1:5">
      <c r="A34" s="74" t="s">
        <v>167</v>
      </c>
      <c r="B34" s="74" t="s">
        <v>157</v>
      </c>
      <c r="C34" s="74" t="s">
        <v>162</v>
      </c>
      <c r="D34" s="71" t="str">
        <f t="shared" si="1"/>
        <v>〇草地交付対象外（田草地混在地）</v>
      </c>
      <c r="E34" s="445">
        <v>0</v>
      </c>
    </row>
    <row r="35" spans="1:5">
      <c r="A35" s="74" t="s">
        <v>167</v>
      </c>
      <c r="B35" s="74" t="s">
        <v>157</v>
      </c>
      <c r="C35" s="74" t="s">
        <v>161</v>
      </c>
      <c r="D35" s="71" t="str">
        <f t="shared" si="1"/>
        <v>〇草地交付対象外（田草地混在地以外）</v>
      </c>
      <c r="E35" s="445">
        <v>0</v>
      </c>
    </row>
    <row r="36" spans="1:5">
      <c r="A36" s="74" t="s">
        <v>167</v>
      </c>
      <c r="B36" s="74" t="s">
        <v>157</v>
      </c>
      <c r="C36" s="74" t="s">
        <v>170</v>
      </c>
      <c r="D36" s="71" t="str">
        <f t="shared" si="1"/>
        <v>〇草地協定に含めない管理すべき農用地</v>
      </c>
      <c r="E36" s="445">
        <v>0</v>
      </c>
    </row>
    <row r="37" spans="1:5">
      <c r="A37" s="74" t="s">
        <v>167</v>
      </c>
      <c r="B37" s="74" t="s">
        <v>163</v>
      </c>
      <c r="C37" s="74" t="s">
        <v>133</v>
      </c>
      <c r="D37" s="71" t="str">
        <f t="shared" si="1"/>
        <v>〇採草放牧地急傾斜</v>
      </c>
      <c r="E37" s="445">
        <v>1000</v>
      </c>
    </row>
    <row r="38" spans="1:5">
      <c r="A38" s="74" t="s">
        <v>167</v>
      </c>
      <c r="B38" s="74" t="s">
        <v>163</v>
      </c>
      <c r="C38" s="74" t="s">
        <v>156</v>
      </c>
      <c r="D38" s="71" t="str">
        <f t="shared" si="1"/>
        <v>〇採草放牧地緩傾斜</v>
      </c>
      <c r="E38" s="445">
        <v>300</v>
      </c>
    </row>
    <row r="39" spans="1:5">
      <c r="A39" s="74" t="s">
        <v>167</v>
      </c>
      <c r="B39" s="74" t="s">
        <v>163</v>
      </c>
      <c r="C39" s="74" t="s">
        <v>151</v>
      </c>
      <c r="D39" s="71" t="str">
        <f t="shared" si="1"/>
        <v>〇採草放牧地特認基準</v>
      </c>
      <c r="E39" s="445">
        <v>300</v>
      </c>
    </row>
    <row r="40" spans="1:5">
      <c r="A40" s="74" t="s">
        <v>167</v>
      </c>
      <c r="B40" s="74" t="s">
        <v>163</v>
      </c>
      <c r="C40" s="74" t="s">
        <v>164</v>
      </c>
      <c r="D40" s="71" t="str">
        <f t="shared" si="1"/>
        <v>〇採草放牧地交付対象外（田採草放牧地混在地）</v>
      </c>
      <c r="E40" s="445">
        <v>0</v>
      </c>
    </row>
    <row r="41" spans="1:5">
      <c r="A41" s="74" t="s">
        <v>167</v>
      </c>
      <c r="B41" s="74" t="s">
        <v>163</v>
      </c>
      <c r="C41" s="74" t="s">
        <v>165</v>
      </c>
      <c r="D41" s="71" t="str">
        <f t="shared" si="1"/>
        <v>〇採草放牧地交付対象外（田採草放牧地混在地以外）</v>
      </c>
      <c r="E41" s="445">
        <v>0</v>
      </c>
    </row>
    <row r="42" spans="1:5">
      <c r="A42" s="74" t="s">
        <v>167</v>
      </c>
      <c r="B42" s="74" t="s">
        <v>163</v>
      </c>
      <c r="C42" s="74" t="s">
        <v>170</v>
      </c>
      <c r="D42" s="71" t="str">
        <f t="shared" si="1"/>
        <v>〇採草放牧地協定に含めない管理すべき農用地</v>
      </c>
      <c r="E42" s="445">
        <v>0</v>
      </c>
    </row>
    <row r="43" spans="1:5">
      <c r="A43" s="74"/>
      <c r="B43" s="74" t="s">
        <v>132</v>
      </c>
      <c r="C43" s="74" t="s">
        <v>133</v>
      </c>
      <c r="D43" s="71" t="str">
        <f>A43&amp;B43&amp;C43</f>
        <v>田急傾斜</v>
      </c>
      <c r="E43" s="445">
        <f t="shared" ref="E43:E48" si="2">E15*0.8</f>
        <v>16800</v>
      </c>
    </row>
    <row r="44" spans="1:5">
      <c r="A44" s="74"/>
      <c r="B44" s="74" t="s">
        <v>132</v>
      </c>
      <c r="C44" s="74" t="s">
        <v>156</v>
      </c>
      <c r="D44" s="71" t="str">
        <f t="shared" ref="D44:D70" si="3">A44&amp;B44&amp;C44</f>
        <v>田緩傾斜</v>
      </c>
      <c r="E44" s="445">
        <f t="shared" si="2"/>
        <v>6400</v>
      </c>
    </row>
    <row r="45" spans="1:5">
      <c r="A45" s="74"/>
      <c r="B45" s="74" t="s">
        <v>132</v>
      </c>
      <c r="C45" s="74" t="s">
        <v>159</v>
      </c>
      <c r="D45" s="71" t="str">
        <f t="shared" si="3"/>
        <v>田小区画・不整形</v>
      </c>
      <c r="E45" s="445">
        <f t="shared" si="2"/>
        <v>6400</v>
      </c>
    </row>
    <row r="46" spans="1:5">
      <c r="A46" s="74"/>
      <c r="B46" s="74" t="s">
        <v>132</v>
      </c>
      <c r="C46" s="74" t="s">
        <v>150</v>
      </c>
      <c r="D46" s="71" t="str">
        <f t="shared" si="3"/>
        <v>田高齢化・耕作放棄率</v>
      </c>
      <c r="E46" s="445">
        <f t="shared" si="2"/>
        <v>6400</v>
      </c>
    </row>
    <row r="47" spans="1:5">
      <c r="A47" s="74"/>
      <c r="B47" s="74" t="s">
        <v>132</v>
      </c>
      <c r="C47" s="74" t="s">
        <v>151</v>
      </c>
      <c r="D47" s="71" t="str">
        <f t="shared" si="3"/>
        <v>田特認基準</v>
      </c>
      <c r="E47" s="445">
        <f t="shared" si="2"/>
        <v>6400</v>
      </c>
    </row>
    <row r="48" spans="1:5">
      <c r="A48" s="74"/>
      <c r="B48" s="74" t="s">
        <v>132</v>
      </c>
      <c r="C48" s="74" t="s">
        <v>152</v>
      </c>
      <c r="D48" s="71" t="str">
        <f t="shared" si="3"/>
        <v>田交付対象外</v>
      </c>
      <c r="E48" s="445">
        <f t="shared" si="2"/>
        <v>0</v>
      </c>
    </row>
    <row r="49" spans="1:5">
      <c r="A49" s="74"/>
      <c r="B49" s="74" t="s">
        <v>132</v>
      </c>
      <c r="C49" s="74" t="s">
        <v>170</v>
      </c>
      <c r="D49" s="71" t="str">
        <f t="shared" si="3"/>
        <v>田協定に含めない管理すべき農用地</v>
      </c>
      <c r="E49" s="445">
        <v>0</v>
      </c>
    </row>
    <row r="50" spans="1:5">
      <c r="A50" s="74"/>
      <c r="B50" s="74" t="s">
        <v>153</v>
      </c>
      <c r="C50" s="74" t="s">
        <v>133</v>
      </c>
      <c r="D50" s="71" t="str">
        <f t="shared" si="3"/>
        <v>畑急傾斜</v>
      </c>
      <c r="E50" s="445">
        <f t="shared" ref="E50:E70" si="4">E22*0.8</f>
        <v>9200</v>
      </c>
    </row>
    <row r="51" spans="1:5">
      <c r="A51" s="74"/>
      <c r="B51" s="74" t="s">
        <v>153</v>
      </c>
      <c r="C51" s="74" t="s">
        <v>156</v>
      </c>
      <c r="D51" s="71" t="str">
        <f t="shared" si="3"/>
        <v>畑緩傾斜</v>
      </c>
      <c r="E51" s="445">
        <f t="shared" si="4"/>
        <v>2800</v>
      </c>
    </row>
    <row r="52" spans="1:5">
      <c r="A52" s="74"/>
      <c r="B52" s="74" t="s">
        <v>153</v>
      </c>
      <c r="C52" s="74" t="s">
        <v>150</v>
      </c>
      <c r="D52" s="71" t="str">
        <f t="shared" si="3"/>
        <v>畑高齢化・耕作放棄率</v>
      </c>
      <c r="E52" s="445">
        <f t="shared" si="4"/>
        <v>2800</v>
      </c>
    </row>
    <row r="53" spans="1:5">
      <c r="A53" s="74"/>
      <c r="B53" s="74" t="s">
        <v>153</v>
      </c>
      <c r="C53" s="74" t="s">
        <v>151</v>
      </c>
      <c r="D53" s="71" t="str">
        <f t="shared" si="3"/>
        <v>畑特認基準</v>
      </c>
      <c r="E53" s="445">
        <f t="shared" si="4"/>
        <v>2800</v>
      </c>
    </row>
    <row r="54" spans="1:5">
      <c r="A54" s="74"/>
      <c r="B54" s="74" t="s">
        <v>153</v>
      </c>
      <c r="C54" s="74" t="s">
        <v>155</v>
      </c>
      <c r="D54" s="71" t="str">
        <f t="shared" si="3"/>
        <v>畑交付対象外（田畑混在地）</v>
      </c>
      <c r="E54" s="445">
        <f t="shared" si="4"/>
        <v>0</v>
      </c>
    </row>
    <row r="55" spans="1:5">
      <c r="A55" s="74"/>
      <c r="B55" s="74" t="s">
        <v>153</v>
      </c>
      <c r="C55" s="74" t="s">
        <v>154</v>
      </c>
      <c r="D55" s="71" t="str">
        <f t="shared" si="3"/>
        <v>畑交付対象外（田畑混在地以外）</v>
      </c>
      <c r="E55" s="445">
        <f t="shared" si="4"/>
        <v>0</v>
      </c>
    </row>
    <row r="56" spans="1:5">
      <c r="A56" s="74"/>
      <c r="B56" s="74" t="s">
        <v>153</v>
      </c>
      <c r="C56" s="74" t="s">
        <v>170</v>
      </c>
      <c r="D56" s="71" t="str">
        <f t="shared" si="3"/>
        <v>畑協定に含めない管理すべき農用地</v>
      </c>
      <c r="E56" s="445">
        <f t="shared" si="4"/>
        <v>0</v>
      </c>
    </row>
    <row r="57" spans="1:5">
      <c r="A57" s="74"/>
      <c r="B57" s="74" t="s">
        <v>157</v>
      </c>
      <c r="C57" s="74" t="s">
        <v>133</v>
      </c>
      <c r="D57" s="71" t="str">
        <f t="shared" si="3"/>
        <v>草地急傾斜</v>
      </c>
      <c r="E57" s="445">
        <f t="shared" si="4"/>
        <v>8400</v>
      </c>
    </row>
    <row r="58" spans="1:5">
      <c r="A58" s="74"/>
      <c r="B58" s="74" t="s">
        <v>157</v>
      </c>
      <c r="C58" s="74" t="s">
        <v>156</v>
      </c>
      <c r="D58" s="71" t="str">
        <f t="shared" si="3"/>
        <v>草地緩傾斜</v>
      </c>
      <c r="E58" s="445">
        <f t="shared" si="4"/>
        <v>2400</v>
      </c>
    </row>
    <row r="59" spans="1:5">
      <c r="A59" s="74"/>
      <c r="B59" s="74" t="s">
        <v>157</v>
      </c>
      <c r="C59" s="74" t="s">
        <v>150</v>
      </c>
      <c r="D59" s="71" t="str">
        <f t="shared" si="3"/>
        <v>草地高齢化・耕作放棄率</v>
      </c>
      <c r="E59" s="445">
        <f t="shared" si="4"/>
        <v>2400</v>
      </c>
    </row>
    <row r="60" spans="1:5">
      <c r="A60" s="74"/>
      <c r="B60" s="74" t="s">
        <v>157</v>
      </c>
      <c r="C60" s="74" t="s">
        <v>160</v>
      </c>
      <c r="D60" s="71" t="str">
        <f t="shared" si="3"/>
        <v>草地草地比率の高い草地</v>
      </c>
      <c r="E60" s="445">
        <f t="shared" si="4"/>
        <v>1200</v>
      </c>
    </row>
    <row r="61" spans="1:5">
      <c r="A61" s="74"/>
      <c r="B61" s="74" t="s">
        <v>157</v>
      </c>
      <c r="C61" s="74" t="s">
        <v>151</v>
      </c>
      <c r="D61" s="71" t="str">
        <f t="shared" si="3"/>
        <v>草地特認基準</v>
      </c>
      <c r="E61" s="445">
        <f t="shared" si="4"/>
        <v>2400</v>
      </c>
    </row>
    <row r="62" spans="1:5">
      <c r="A62" s="74"/>
      <c r="B62" s="74" t="s">
        <v>157</v>
      </c>
      <c r="C62" s="74" t="s">
        <v>162</v>
      </c>
      <c r="D62" s="71" t="str">
        <f t="shared" si="3"/>
        <v>草地交付対象外（田草地混在地）</v>
      </c>
      <c r="E62" s="445">
        <f t="shared" si="4"/>
        <v>0</v>
      </c>
    </row>
    <row r="63" spans="1:5">
      <c r="A63" s="74"/>
      <c r="B63" s="74" t="s">
        <v>157</v>
      </c>
      <c r="C63" s="74" t="s">
        <v>161</v>
      </c>
      <c r="D63" s="71" t="str">
        <f t="shared" si="3"/>
        <v>草地交付対象外（田草地混在地以外）</v>
      </c>
      <c r="E63" s="445">
        <f t="shared" si="4"/>
        <v>0</v>
      </c>
    </row>
    <row r="64" spans="1:5">
      <c r="A64" s="74"/>
      <c r="B64" s="74" t="s">
        <v>157</v>
      </c>
      <c r="C64" s="74" t="s">
        <v>170</v>
      </c>
      <c r="D64" s="71" t="str">
        <f t="shared" si="3"/>
        <v>草地協定に含めない管理すべき農用地</v>
      </c>
      <c r="E64" s="445">
        <f t="shared" si="4"/>
        <v>0</v>
      </c>
    </row>
    <row r="65" spans="1:5">
      <c r="A65" s="74"/>
      <c r="B65" s="74" t="s">
        <v>163</v>
      </c>
      <c r="C65" s="74" t="s">
        <v>133</v>
      </c>
      <c r="D65" s="71" t="str">
        <f t="shared" si="3"/>
        <v>採草放牧地急傾斜</v>
      </c>
      <c r="E65" s="445">
        <f t="shared" si="4"/>
        <v>800</v>
      </c>
    </row>
    <row r="66" spans="1:5">
      <c r="A66" s="74"/>
      <c r="B66" s="74" t="s">
        <v>163</v>
      </c>
      <c r="C66" s="74" t="s">
        <v>156</v>
      </c>
      <c r="D66" s="71" t="str">
        <f t="shared" si="3"/>
        <v>採草放牧地緩傾斜</v>
      </c>
      <c r="E66" s="445">
        <f t="shared" si="4"/>
        <v>240</v>
      </c>
    </row>
    <row r="67" spans="1:5">
      <c r="A67" s="74"/>
      <c r="B67" s="74" t="s">
        <v>163</v>
      </c>
      <c r="C67" s="74" t="s">
        <v>151</v>
      </c>
      <c r="D67" s="71" t="str">
        <f t="shared" si="3"/>
        <v>採草放牧地特認基準</v>
      </c>
      <c r="E67" s="445">
        <f t="shared" si="4"/>
        <v>240</v>
      </c>
    </row>
    <row r="68" spans="1:5">
      <c r="A68" s="74"/>
      <c r="B68" s="74" t="s">
        <v>163</v>
      </c>
      <c r="C68" s="74" t="s">
        <v>164</v>
      </c>
      <c r="D68" s="71" t="str">
        <f t="shared" si="3"/>
        <v>採草放牧地交付対象外（田採草放牧地混在地）</v>
      </c>
      <c r="E68" s="445">
        <f t="shared" si="4"/>
        <v>0</v>
      </c>
    </row>
    <row r="69" spans="1:5">
      <c r="A69" s="74"/>
      <c r="B69" s="74" t="s">
        <v>163</v>
      </c>
      <c r="C69" s="74" t="s">
        <v>165</v>
      </c>
      <c r="D69" s="71" t="str">
        <f t="shared" si="3"/>
        <v>採草放牧地交付対象外（田採草放牧地混在地以外）</v>
      </c>
      <c r="E69" s="445">
        <f t="shared" si="4"/>
        <v>0</v>
      </c>
    </row>
    <row r="70" spans="1:5">
      <c r="A70" s="74"/>
      <c r="B70" s="74" t="s">
        <v>163</v>
      </c>
      <c r="C70" s="74" t="s">
        <v>170</v>
      </c>
      <c r="D70" s="71" t="str">
        <f t="shared" si="3"/>
        <v>採草放牧地協定に含めない管理すべき農用地</v>
      </c>
      <c r="E70" s="445">
        <f t="shared" si="4"/>
        <v>0</v>
      </c>
    </row>
    <row r="74" spans="1:5">
      <c r="A74" t="s">
        <v>176</v>
      </c>
    </row>
    <row r="75" spans="1:5">
      <c r="A75" s="74" t="s">
        <v>135</v>
      </c>
    </row>
    <row r="76" spans="1:5">
      <c r="A76" s="74" t="s">
        <v>177</v>
      </c>
    </row>
    <row r="77" spans="1:5">
      <c r="A77" s="76" t="s">
        <v>178</v>
      </c>
    </row>
    <row r="78" spans="1:5">
      <c r="A78" s="76" t="s">
        <v>179</v>
      </c>
    </row>
    <row r="79" spans="1:5">
      <c r="A79" s="74" t="s">
        <v>180</v>
      </c>
    </row>
    <row r="80" spans="1:5">
      <c r="A80" s="74" t="s">
        <v>181</v>
      </c>
    </row>
    <row r="81" spans="1:1">
      <c r="A81" s="74"/>
    </row>
    <row r="82" spans="1:1">
      <c r="A82" s="74"/>
    </row>
  </sheetData>
  <sheetProtection formatCells="0" formatColumns="0" formatRows="0" insertColumns="0" insertRows="0" insertHyperlinks="0" deleteColumns="0" deleteRows="0" autoFilter="0" pivotTables="0"/>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heetViews>
  <sheetFormatPr defaultColWidth="9" defaultRowHeight="14.25"/>
  <cols>
    <col min="1" max="1" width="5.375" style="62" customWidth="1"/>
    <col min="2" max="2" width="6.375" style="62" customWidth="1"/>
    <col min="3" max="3" width="4.125" style="62" customWidth="1"/>
    <col min="4" max="4" width="43.75" style="62" customWidth="1"/>
    <col min="5" max="5" width="26.375" style="62" customWidth="1"/>
    <col min="6" max="6" width="5.375" style="62" customWidth="1"/>
    <col min="7" max="11" width="4.25" style="62" customWidth="1"/>
    <col min="12" max="17" width="2.625" style="62" customWidth="1"/>
    <col min="18" max="16384" width="9" style="62"/>
  </cols>
  <sheetData>
    <row r="1" spans="1:30" ht="27.75" customHeight="1">
      <c r="A1" s="357" t="s">
        <v>182</v>
      </c>
      <c r="Q1" s="69"/>
      <c r="R1" s="69"/>
      <c r="AD1" s="62" t="s">
        <v>167</v>
      </c>
    </row>
    <row r="2" spans="1:30" ht="27.75" customHeight="1">
      <c r="A2" s="100"/>
      <c r="E2" s="372"/>
      <c r="Q2" s="69"/>
      <c r="R2" s="69"/>
    </row>
    <row r="3" spans="1:30" ht="27.75" customHeight="1">
      <c r="A3" s="100"/>
      <c r="E3" s="633">
        <v>45898</v>
      </c>
      <c r="Q3" s="69"/>
      <c r="R3" s="69"/>
    </row>
    <row r="4" spans="1:30" s="375" customFormat="1" ht="25.5" customHeight="1">
      <c r="A4" s="897" t="s">
        <v>183</v>
      </c>
      <c r="B4" s="897"/>
      <c r="C4" s="373" t="s">
        <v>184</v>
      </c>
      <c r="D4" s="374"/>
      <c r="E4" s="245"/>
      <c r="F4" s="62"/>
      <c r="G4" s="62"/>
    </row>
    <row r="5" spans="1:30" ht="24" customHeight="1">
      <c r="A5" s="376"/>
      <c r="B5" s="376"/>
      <c r="C5" s="376"/>
      <c r="D5" s="376"/>
      <c r="E5" s="607" t="str">
        <f>はじめに!D5&amp;""</f>
        <v>〇〇集落協定</v>
      </c>
    </row>
    <row r="6" spans="1:30" ht="24" customHeight="1">
      <c r="A6" s="376"/>
      <c r="B6" s="376"/>
      <c r="C6" s="376"/>
      <c r="D6" s="376"/>
      <c r="E6" s="608" t="str">
        <f>はじめに!D6&amp;""</f>
        <v>〇〇　〇〇</v>
      </c>
    </row>
    <row r="7" spans="1:30" ht="26.25" customHeight="1">
      <c r="A7" s="376"/>
      <c r="B7" s="376"/>
      <c r="C7" s="376"/>
      <c r="D7" s="376"/>
      <c r="E7" s="245"/>
    </row>
    <row r="8" spans="1:30" s="375" customFormat="1" ht="25.5" customHeight="1">
      <c r="A8" s="898" t="s">
        <v>2107</v>
      </c>
      <c r="B8" s="898"/>
      <c r="C8" s="898"/>
      <c r="D8" s="898"/>
      <c r="E8" s="898"/>
      <c r="F8" s="898"/>
      <c r="G8" s="62"/>
    </row>
    <row r="9" spans="1:30" s="375" customFormat="1" ht="25.5" customHeight="1">
      <c r="A9" s="377"/>
      <c r="B9" s="245"/>
      <c r="C9" s="245"/>
      <c r="D9" s="245"/>
      <c r="E9" s="245"/>
      <c r="F9" s="62"/>
      <c r="G9" s="62"/>
    </row>
    <row r="10" spans="1:30" s="378" customFormat="1" ht="45.75" customHeight="1">
      <c r="A10" s="899" t="s">
        <v>2108</v>
      </c>
      <c r="B10" s="899"/>
      <c r="C10" s="899"/>
      <c r="D10" s="899"/>
      <c r="E10" s="899"/>
      <c r="F10" s="899"/>
    </row>
    <row r="11" spans="1:30" s="378" customFormat="1" ht="18" customHeight="1"/>
    <row r="12" spans="1:30" s="375" customFormat="1" ht="25.5" customHeight="1">
      <c r="A12" s="900"/>
      <c r="B12" s="900"/>
      <c r="C12" s="900"/>
      <c r="D12" s="900"/>
      <c r="E12" s="900"/>
      <c r="F12" s="900"/>
      <c r="G12" s="62"/>
      <c r="H12" s="62"/>
      <c r="I12" s="62"/>
      <c r="J12" s="62"/>
    </row>
    <row r="13" spans="1:30" s="378" customFormat="1" ht="24.75" customHeight="1">
      <c r="A13" s="378" t="s">
        <v>185</v>
      </c>
    </row>
    <row r="14" spans="1:30" s="375" customFormat="1" ht="24.75" customHeight="1">
      <c r="A14" s="852"/>
      <c r="B14" s="852"/>
      <c r="C14" s="852"/>
      <c r="D14" s="852"/>
      <c r="E14" s="852"/>
      <c r="F14" s="852"/>
      <c r="G14" s="70"/>
      <c r="H14" s="70"/>
      <c r="I14" s="70"/>
      <c r="J14" s="70"/>
    </row>
    <row r="15" spans="1:30" s="378" customFormat="1" ht="24.75" customHeight="1">
      <c r="A15" s="378" t="s">
        <v>186</v>
      </c>
    </row>
    <row r="16" spans="1:30" ht="24.75" customHeight="1">
      <c r="B16" s="399" t="s">
        <v>187</v>
      </c>
      <c r="C16" s="100" t="s">
        <v>188</v>
      </c>
      <c r="D16" s="118"/>
      <c r="E16" s="118"/>
    </row>
    <row r="17" spans="1:6" ht="24.75" customHeight="1">
      <c r="B17" s="393" t="s">
        <v>189</v>
      </c>
      <c r="C17" s="893" t="s">
        <v>190</v>
      </c>
      <c r="D17" s="893"/>
      <c r="E17" s="893"/>
    </row>
    <row r="18" spans="1:6" ht="24.75" customHeight="1">
      <c r="B18" s="399" t="s">
        <v>187</v>
      </c>
      <c r="C18" s="893" t="s">
        <v>191</v>
      </c>
      <c r="D18" s="893"/>
      <c r="E18" s="893"/>
    </row>
    <row r="19" spans="1:6" ht="24.75" customHeight="1">
      <c r="A19" s="894"/>
      <c r="B19" s="894"/>
      <c r="C19" s="894"/>
      <c r="D19" s="894"/>
      <c r="E19" s="894"/>
      <c r="F19" s="894"/>
    </row>
    <row r="20" spans="1:6" s="378" customFormat="1" ht="24.75" customHeight="1">
      <c r="A20" s="378" t="s">
        <v>192</v>
      </c>
    </row>
    <row r="21" spans="1:6" s="378" customFormat="1" ht="24.75" customHeight="1">
      <c r="B21" s="399" t="s">
        <v>187</v>
      </c>
      <c r="C21" s="895" t="s">
        <v>193</v>
      </c>
      <c r="D21" s="895"/>
      <c r="E21" s="895"/>
    </row>
    <row r="22" spans="1:6" s="378" customFormat="1" ht="24.75" customHeight="1">
      <c r="B22" s="379"/>
      <c r="C22" s="380"/>
      <c r="D22" s="380"/>
      <c r="E22" s="380"/>
    </row>
    <row r="23" spans="1:6" s="378" customFormat="1" ht="72" customHeight="1">
      <c r="B23" s="896" t="s">
        <v>194</v>
      </c>
      <c r="C23" s="896"/>
      <c r="D23" s="896"/>
      <c r="E23" s="896"/>
      <c r="F23" s="381"/>
    </row>
    <row r="24" spans="1:6" s="378" customFormat="1" ht="9.75" customHeight="1">
      <c r="B24" s="380"/>
      <c r="C24" s="380"/>
      <c r="D24" s="380"/>
    </row>
    <row r="25" spans="1:6" ht="25.5" customHeight="1">
      <c r="B25" s="399" t="s">
        <v>187</v>
      </c>
      <c r="C25" s="62" t="s">
        <v>195</v>
      </c>
    </row>
    <row r="26" spans="1:6" ht="25.5" customHeight="1">
      <c r="B26" s="379"/>
    </row>
    <row r="27" spans="1:6" ht="25.5" customHeight="1"/>
    <row r="28" spans="1:6" ht="25.5" customHeight="1">
      <c r="A28" s="150"/>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heetViews>
  <sheetFormatPr defaultColWidth="9" defaultRowHeight="18" customHeight="1"/>
  <cols>
    <col min="1" max="4" width="2.625" style="382" customWidth="1"/>
    <col min="5" max="5" width="5" style="382" customWidth="1"/>
    <col min="6" max="6" width="38.875" style="382" customWidth="1"/>
    <col min="7" max="7" width="23.625" style="382" customWidth="1"/>
    <col min="8" max="8" width="4.625" style="382" customWidth="1"/>
    <col min="9" max="9" width="3.375" style="382" customWidth="1"/>
    <col min="10" max="10" width="9" style="382"/>
    <col min="11" max="11" width="5.75" style="382" customWidth="1"/>
    <col min="12" max="16384" width="9" style="382"/>
  </cols>
  <sheetData>
    <row r="1" spans="1:8" ht="18" customHeight="1">
      <c r="A1" s="100"/>
    </row>
    <row r="3" spans="1:8" ht="18" customHeight="1">
      <c r="A3" s="911" t="s">
        <v>196</v>
      </c>
      <c r="B3" s="911"/>
      <c r="C3" s="911"/>
      <c r="D3" s="911"/>
      <c r="E3" s="911"/>
      <c r="F3" s="911"/>
      <c r="G3" s="911"/>
      <c r="H3" s="911"/>
    </row>
    <row r="5" spans="1:8" ht="24.95" customHeight="1">
      <c r="G5" s="912">
        <f>参４_申請!E3</f>
        <v>45898</v>
      </c>
      <c r="H5" s="912"/>
    </row>
    <row r="6" spans="1:8" ht="24.95" customHeight="1">
      <c r="G6" s="913" t="str">
        <f>はじめに!D5&amp;""</f>
        <v>〇〇集落協定</v>
      </c>
      <c r="H6" s="913"/>
    </row>
    <row r="7" spans="1:8" ht="9.75" customHeight="1"/>
    <row r="8" spans="1:8" ht="18" customHeight="1">
      <c r="A8" s="383" t="s">
        <v>197</v>
      </c>
      <c r="B8" s="383"/>
    </row>
    <row r="9" spans="1:8" ht="15.2" customHeight="1">
      <c r="A9" s="383"/>
      <c r="B9" s="383"/>
    </row>
    <row r="10" spans="1:8" ht="18" customHeight="1">
      <c r="A10" s="382" t="s">
        <v>198</v>
      </c>
    </row>
    <row r="11" spans="1:8" ht="30.6" customHeight="1">
      <c r="B11" s="901" t="s">
        <v>199</v>
      </c>
      <c r="C11" s="901"/>
      <c r="D11" s="901"/>
      <c r="E11" s="901"/>
      <c r="F11" s="901"/>
      <c r="G11" s="901"/>
      <c r="H11" s="901"/>
    </row>
    <row r="12" spans="1:8" ht="15.2" customHeight="1">
      <c r="B12" s="384"/>
      <c r="C12" s="384"/>
      <c r="D12" s="384"/>
      <c r="E12" s="384"/>
      <c r="F12" s="384"/>
      <c r="G12" s="384"/>
      <c r="H12" s="384"/>
    </row>
    <row r="13" spans="1:8" ht="18" customHeight="1">
      <c r="A13" s="382" t="s">
        <v>200</v>
      </c>
    </row>
    <row r="14" spans="1:8" ht="30.6" customHeight="1">
      <c r="B14" s="901" t="s">
        <v>201</v>
      </c>
      <c r="C14" s="901"/>
      <c r="D14" s="901"/>
      <c r="E14" s="901"/>
      <c r="F14" s="901"/>
      <c r="G14" s="901"/>
      <c r="H14" s="901"/>
    </row>
    <row r="15" spans="1:8" ht="15.2" customHeight="1">
      <c r="B15" s="385"/>
      <c r="C15" s="386"/>
      <c r="D15" s="385"/>
      <c r="E15" s="385"/>
      <c r="F15" s="385"/>
      <c r="G15" s="385"/>
      <c r="H15" s="385"/>
    </row>
    <row r="16" spans="1:8" ht="18" customHeight="1">
      <c r="A16" s="383" t="s">
        <v>202</v>
      </c>
      <c r="B16" s="383"/>
    </row>
    <row r="17" spans="1:8" ht="18" customHeight="1">
      <c r="A17" s="382" t="s">
        <v>203</v>
      </c>
    </row>
    <row r="18" spans="1:8" ht="18" customHeight="1">
      <c r="A18" s="382" t="s">
        <v>204</v>
      </c>
    </row>
    <row r="19" spans="1:8" ht="18" customHeight="1">
      <c r="C19" s="914" t="s">
        <v>205</v>
      </c>
      <c r="D19" s="915"/>
      <c r="E19" s="915"/>
      <c r="F19" s="915"/>
      <c r="G19" s="915"/>
      <c r="H19" s="916"/>
    </row>
    <row r="20" spans="1:8" ht="36" customHeight="1">
      <c r="C20" s="917"/>
      <c r="D20" s="918"/>
      <c r="E20" s="923"/>
      <c r="F20" s="924" t="s">
        <v>206</v>
      </c>
      <c r="G20" s="924"/>
      <c r="H20" s="924"/>
    </row>
    <row r="21" spans="1:8" ht="40.5" customHeight="1">
      <c r="C21" s="919"/>
      <c r="D21" s="920"/>
      <c r="E21" s="923"/>
      <c r="F21" s="924"/>
      <c r="G21" s="924"/>
      <c r="H21" s="924"/>
    </row>
    <row r="22" spans="1:8" ht="18" customHeight="1">
      <c r="C22" s="919"/>
      <c r="D22" s="920"/>
      <c r="E22" s="923"/>
      <c r="F22" s="924" t="s">
        <v>207</v>
      </c>
      <c r="G22" s="924"/>
      <c r="H22" s="924"/>
    </row>
    <row r="23" spans="1:8" ht="27.75" customHeight="1">
      <c r="C23" s="921"/>
      <c r="D23" s="922"/>
      <c r="E23" s="923"/>
      <c r="F23" s="924"/>
      <c r="G23" s="924"/>
      <c r="H23" s="924"/>
    </row>
    <row r="24" spans="1:8" s="387" customFormat="1" ht="24.95" customHeight="1">
      <c r="C24" s="909" t="s">
        <v>139</v>
      </c>
      <c r="D24" s="910"/>
      <c r="E24" s="906" t="s">
        <v>208</v>
      </c>
      <c r="F24" s="906"/>
      <c r="G24" s="906"/>
      <c r="H24" s="906"/>
    </row>
    <row r="25" spans="1:8" s="387" customFormat="1" ht="24.95" customHeight="1">
      <c r="C25" s="904"/>
      <c r="D25" s="905"/>
      <c r="E25" s="906" t="s">
        <v>209</v>
      </c>
      <c r="F25" s="906"/>
      <c r="G25" s="906"/>
      <c r="H25" s="906"/>
    </row>
    <row r="26" spans="1:8" s="387" customFormat="1" ht="24.95" customHeight="1">
      <c r="C26" s="904"/>
      <c r="D26" s="905"/>
      <c r="E26" s="906" t="s">
        <v>210</v>
      </c>
      <c r="F26" s="906"/>
      <c r="G26" s="906"/>
      <c r="H26" s="906"/>
    </row>
    <row r="27" spans="1:8" ht="15.2" customHeight="1">
      <c r="C27" s="388"/>
      <c r="D27" s="388"/>
    </row>
    <row r="28" spans="1:8" ht="18" customHeight="1">
      <c r="A28" s="382" t="s">
        <v>211</v>
      </c>
    </row>
    <row r="29" spans="1:8" ht="18" customHeight="1">
      <c r="C29" s="901" t="s">
        <v>212</v>
      </c>
      <c r="D29" s="901"/>
      <c r="E29" s="901"/>
      <c r="F29" s="901"/>
      <c r="G29" s="901"/>
      <c r="H29" s="901"/>
    </row>
    <row r="30" spans="1:8" ht="18" customHeight="1">
      <c r="C30" s="901"/>
      <c r="D30" s="901"/>
      <c r="E30" s="901"/>
      <c r="F30" s="901"/>
      <c r="G30" s="901"/>
      <c r="H30" s="901"/>
    </row>
    <row r="31" spans="1:8" ht="18" customHeight="1">
      <c r="C31" s="389"/>
      <c r="D31" s="389"/>
      <c r="E31" s="389"/>
      <c r="F31" s="389"/>
      <c r="G31" s="389"/>
      <c r="H31" s="389"/>
    </row>
    <row r="32" spans="1:8" ht="18" customHeight="1">
      <c r="A32" s="382" t="s">
        <v>213</v>
      </c>
    </row>
    <row r="33" spans="1:8" ht="18" customHeight="1">
      <c r="A33" s="382" t="s">
        <v>214</v>
      </c>
    </row>
    <row r="34" spans="1:8" ht="18" customHeight="1">
      <c r="A34" s="382" t="s">
        <v>215</v>
      </c>
    </row>
    <row r="35" spans="1:8" ht="45.6" customHeight="1">
      <c r="C35" s="907" t="s">
        <v>216</v>
      </c>
      <c r="D35" s="907"/>
      <c r="E35" s="908"/>
      <c r="F35" s="908"/>
      <c r="G35" s="908"/>
      <c r="H35" s="908"/>
    </row>
    <row r="36" spans="1:8" ht="45.6" customHeight="1">
      <c r="C36" s="908"/>
      <c r="D36" s="908"/>
      <c r="E36" s="908"/>
      <c r="F36" s="908"/>
      <c r="G36" s="908"/>
      <c r="H36" s="908"/>
    </row>
    <row r="38" spans="1:8" ht="18" customHeight="1">
      <c r="A38" s="382" t="s">
        <v>217</v>
      </c>
    </row>
    <row r="39" spans="1:8" ht="22.9" customHeight="1">
      <c r="C39" s="901" t="s">
        <v>218</v>
      </c>
      <c r="D39" s="901"/>
      <c r="E39" s="901"/>
      <c r="F39" s="901"/>
      <c r="G39" s="901"/>
      <c r="H39" s="901"/>
    </row>
    <row r="40" spans="1:8" ht="22.9" customHeight="1">
      <c r="C40" s="901"/>
      <c r="D40" s="901"/>
      <c r="E40" s="901"/>
      <c r="F40" s="901"/>
      <c r="G40" s="901"/>
      <c r="H40" s="901"/>
    </row>
    <row r="41" spans="1:8" ht="22.9" customHeight="1">
      <c r="C41" s="901"/>
      <c r="D41" s="901"/>
      <c r="E41" s="901"/>
      <c r="F41" s="901"/>
      <c r="G41" s="901"/>
      <c r="H41" s="901"/>
    </row>
    <row r="42" spans="1:8" ht="22.9" customHeight="1">
      <c r="C42" s="901"/>
      <c r="D42" s="901"/>
      <c r="E42" s="901"/>
      <c r="F42" s="901"/>
      <c r="G42" s="901"/>
      <c r="H42" s="901"/>
    </row>
    <row r="43" spans="1:8" ht="50.25" customHeight="1">
      <c r="C43" s="901"/>
      <c r="D43" s="901"/>
      <c r="E43" s="901"/>
      <c r="F43" s="901"/>
      <c r="G43" s="901"/>
      <c r="H43" s="901"/>
    </row>
    <row r="44" spans="1:8" ht="15.2" customHeight="1">
      <c r="C44" s="390"/>
      <c r="D44" s="390"/>
      <c r="E44" s="390"/>
      <c r="F44" s="390"/>
      <c r="G44" s="390"/>
      <c r="H44" s="390"/>
    </row>
    <row r="45" spans="1:8" ht="18" customHeight="1">
      <c r="A45" s="383" t="s">
        <v>219</v>
      </c>
      <c r="B45" s="383"/>
    </row>
    <row r="46" spans="1:8" ht="93" customHeight="1">
      <c r="C46" s="901" t="s">
        <v>220</v>
      </c>
      <c r="D46" s="901"/>
      <c r="E46" s="901"/>
      <c r="F46" s="901"/>
      <c r="G46" s="901"/>
      <c r="H46" s="901"/>
    </row>
    <row r="47" spans="1:8" ht="16.149999999999999" customHeight="1"/>
    <row r="48" spans="1:8" ht="18" customHeight="1">
      <c r="A48" s="383" t="s">
        <v>221</v>
      </c>
      <c r="B48" s="383"/>
    </row>
    <row r="49" spans="1:8" ht="87.6" customHeight="1">
      <c r="C49" s="901" t="s">
        <v>222</v>
      </c>
      <c r="D49" s="901"/>
      <c r="E49" s="901"/>
      <c r="F49" s="901"/>
      <c r="G49" s="901"/>
      <c r="H49" s="901"/>
    </row>
    <row r="50" spans="1:8" ht="18.600000000000001" customHeight="1">
      <c r="A50" s="391" t="s">
        <v>223</v>
      </c>
      <c r="B50" s="392"/>
      <c r="C50" s="392"/>
      <c r="D50" s="392"/>
      <c r="E50" s="392"/>
      <c r="F50" s="392"/>
      <c r="G50" s="392"/>
      <c r="H50" s="392"/>
    </row>
    <row r="51" spans="1:8" ht="51.6" customHeight="1">
      <c r="A51" s="902" t="s">
        <v>224</v>
      </c>
      <c r="B51" s="903"/>
      <c r="C51" s="903"/>
      <c r="D51" s="903"/>
      <c r="E51" s="903"/>
      <c r="F51" s="903"/>
      <c r="G51" s="903"/>
      <c r="H51" s="903"/>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65"/>
      <c r="B1" s="65"/>
      <c r="C1" s="65"/>
      <c r="D1" s="65"/>
      <c r="E1" s="65"/>
      <c r="F1" s="65"/>
      <c r="G1" s="65"/>
      <c r="H1" s="65"/>
      <c r="I1" s="65"/>
      <c r="J1" s="65"/>
      <c r="K1" s="65"/>
      <c r="L1" s="65"/>
      <c r="M1" s="65"/>
      <c r="N1" s="65"/>
      <c r="O1" s="65"/>
      <c r="P1" s="65"/>
      <c r="Q1" s="65"/>
      <c r="R1" s="65"/>
      <c r="S1" s="65"/>
      <c r="T1" s="65"/>
    </row>
    <row r="2" spans="1:21" s="2" customFormat="1" ht="24" customHeight="1">
      <c r="A2" s="100"/>
      <c r="B2" s="213"/>
      <c r="C2" s="213"/>
      <c r="D2" s="242"/>
      <c r="E2" s="242"/>
      <c r="F2" s="213"/>
      <c r="G2" s="213"/>
      <c r="H2" s="213"/>
      <c r="I2" s="213"/>
      <c r="J2" s="213"/>
      <c r="K2" s="213"/>
      <c r="L2" s="213"/>
      <c r="M2" s="213"/>
      <c r="N2" s="213"/>
      <c r="O2" s="213"/>
      <c r="P2" s="213"/>
      <c r="Q2" s="213"/>
      <c r="R2" s="1027" t="s">
        <v>225</v>
      </c>
      <c r="S2" s="1028"/>
      <c r="T2" s="213"/>
    </row>
    <row r="3" spans="1:21" s="2" customFormat="1" ht="42.75" customHeight="1">
      <c r="A3" s="243"/>
      <c r="B3" s="213"/>
      <c r="C3" s="213"/>
      <c r="D3" s="242"/>
      <c r="E3" s="242"/>
      <c r="F3" s="244"/>
      <c r="G3" s="213"/>
      <c r="H3" s="213"/>
      <c r="I3" s="213"/>
      <c r="J3" s="213"/>
      <c r="K3" s="213"/>
      <c r="L3" s="213"/>
      <c r="M3" s="213"/>
      <c r="N3" s="213"/>
      <c r="O3" s="213"/>
      <c r="P3" s="213"/>
      <c r="Q3" s="213"/>
      <c r="R3" s="213"/>
      <c r="S3" s="213"/>
      <c r="T3" s="213"/>
    </row>
    <row r="4" spans="1:21" s="2" customFormat="1" ht="76.5" customHeight="1">
      <c r="A4" s="213"/>
      <c r="B4" s="1036" t="s">
        <v>2109</v>
      </c>
      <c r="C4" s="1037"/>
      <c r="D4" s="1037"/>
      <c r="E4" s="1037"/>
      <c r="F4" s="1037"/>
      <c r="G4" s="1037"/>
      <c r="H4" s="1037"/>
      <c r="I4" s="1037"/>
      <c r="J4" s="1037"/>
      <c r="K4" s="1037"/>
      <c r="L4" s="1037"/>
      <c r="M4" s="1037"/>
      <c r="N4" s="1037"/>
      <c r="O4" s="1037"/>
      <c r="P4" s="1037"/>
      <c r="Q4" s="1037"/>
      <c r="R4" s="1037"/>
      <c r="S4" s="1037"/>
      <c r="T4" s="213"/>
    </row>
    <row r="5" spans="1:21" s="2" customFormat="1" ht="21.75" customHeight="1">
      <c r="A5" s="213"/>
      <c r="B5" s="245"/>
      <c r="C5" s="245"/>
      <c r="D5" s="245"/>
      <c r="E5" s="245"/>
      <c r="F5" s="245"/>
      <c r="G5" s="62"/>
      <c r="H5" s="62"/>
      <c r="I5" s="62"/>
      <c r="J5" s="62"/>
      <c r="K5" s="62"/>
      <c r="L5" s="62"/>
      <c r="M5" s="62"/>
      <c r="N5" s="62"/>
      <c r="O5" s="62"/>
      <c r="P5" s="62"/>
      <c r="Q5" s="62"/>
      <c r="R5" s="62"/>
      <c r="S5" s="62"/>
      <c r="T5" s="213"/>
    </row>
    <row r="6" spans="1:21" s="2" customFormat="1" ht="21.75" customHeight="1">
      <c r="A6" s="213"/>
      <c r="B6" s="213"/>
      <c r="C6" s="213"/>
      <c r="D6" s="1029" t="s">
        <v>226</v>
      </c>
      <c r="E6" s="1029"/>
      <c r="F6" s="1029"/>
      <c r="G6" s="1032" t="s">
        <v>1757</v>
      </c>
      <c r="H6" s="1032"/>
      <c r="I6" s="1032"/>
      <c r="J6" s="1032"/>
      <c r="K6" s="1032"/>
      <c r="L6" s="1032"/>
      <c r="M6" s="1032"/>
      <c r="N6" s="1032"/>
      <c r="O6" s="1032"/>
      <c r="P6" s="1032"/>
      <c r="Q6" s="1033"/>
      <c r="R6" s="213"/>
      <c r="S6" s="213"/>
      <c r="T6" s="213"/>
    </row>
    <row r="7" spans="1:21" s="2" customFormat="1" ht="30.75" customHeight="1">
      <c r="A7" s="213"/>
      <c r="B7" s="213"/>
      <c r="C7" s="213"/>
      <c r="D7" s="1007" t="s">
        <v>227</v>
      </c>
      <c r="E7" s="1007"/>
      <c r="F7" s="1007"/>
      <c r="G7" s="1030" t="str">
        <f>はじめに!D5&amp;""</f>
        <v>〇〇集落協定</v>
      </c>
      <c r="H7" s="1030"/>
      <c r="I7" s="1030"/>
      <c r="J7" s="1030"/>
      <c r="K7" s="1030"/>
      <c r="L7" s="1030"/>
      <c r="M7" s="1030"/>
      <c r="N7" s="1030"/>
      <c r="O7" s="1030"/>
      <c r="P7" s="1030"/>
      <c r="Q7" s="1031"/>
      <c r="R7" s="213"/>
      <c r="S7" s="213"/>
      <c r="T7" s="213"/>
      <c r="U7" s="1"/>
    </row>
    <row r="8" spans="1:21" s="2" customFormat="1" ht="3" customHeight="1">
      <c r="A8" s="213"/>
      <c r="B8" s="213"/>
      <c r="C8" s="213"/>
      <c r="D8" s="246"/>
      <c r="E8" s="246"/>
      <c r="F8" s="246"/>
      <c r="G8" s="62"/>
      <c r="H8" s="62"/>
      <c r="I8" s="247"/>
      <c r="J8" s="247"/>
      <c r="K8" s="247"/>
      <c r="L8" s="247"/>
      <c r="M8" s="247"/>
      <c r="N8" s="247"/>
      <c r="O8" s="247"/>
      <c r="P8" s="247"/>
      <c r="Q8" s="247"/>
      <c r="R8" s="213"/>
      <c r="S8" s="213"/>
      <c r="T8" s="213"/>
    </row>
    <row r="9" spans="1:21" s="2" customFormat="1" ht="19.5" customHeight="1">
      <c r="A9" s="213"/>
      <c r="B9" s="213"/>
      <c r="C9" s="213"/>
      <c r="D9" s="1029" t="s">
        <v>226</v>
      </c>
      <c r="E9" s="1029"/>
      <c r="F9" s="1029"/>
      <c r="G9" s="1032" t="s">
        <v>1758</v>
      </c>
      <c r="H9" s="1032"/>
      <c r="I9" s="1032"/>
      <c r="J9" s="1032"/>
      <c r="K9" s="1032"/>
      <c r="L9" s="1032"/>
      <c r="M9" s="1032"/>
      <c r="N9" s="1032"/>
      <c r="O9" s="1032"/>
      <c r="P9" s="1032"/>
      <c r="Q9" s="1033"/>
      <c r="R9" s="213"/>
      <c r="S9" s="213"/>
      <c r="T9" s="213"/>
    </row>
    <row r="10" spans="1:21" s="2" customFormat="1" ht="30.75" customHeight="1">
      <c r="A10" s="213"/>
      <c r="B10" s="213"/>
      <c r="C10" s="213"/>
      <c r="D10" s="1007" t="s">
        <v>228</v>
      </c>
      <c r="E10" s="1007"/>
      <c r="F10" s="1007"/>
      <c r="G10" s="1030" t="str">
        <f>はじめに!D6&amp;""</f>
        <v>〇〇　〇〇</v>
      </c>
      <c r="H10" s="1030"/>
      <c r="I10" s="1030"/>
      <c r="J10" s="1030"/>
      <c r="K10" s="1030"/>
      <c r="L10" s="1030"/>
      <c r="M10" s="1030"/>
      <c r="N10" s="1030"/>
      <c r="O10" s="1034"/>
      <c r="P10" s="1034"/>
      <c r="Q10" s="1035"/>
      <c r="R10" s="213"/>
      <c r="S10" s="213"/>
      <c r="T10" s="213"/>
      <c r="U10" s="1"/>
    </row>
    <row r="11" spans="1:21" s="2" customFormat="1" ht="3" customHeight="1">
      <c r="A11" s="213"/>
      <c r="B11" s="213"/>
      <c r="C11" s="213"/>
      <c r="D11" s="246"/>
      <c r="E11" s="246"/>
      <c r="F11" s="246"/>
      <c r="G11" s="248"/>
      <c r="H11" s="245"/>
      <c r="I11" s="213"/>
      <c r="J11" s="248"/>
      <c r="K11" s="248"/>
      <c r="L11" s="248"/>
      <c r="M11" s="248"/>
      <c r="N11" s="248"/>
      <c r="O11" s="248"/>
      <c r="P11" s="248"/>
      <c r="Q11" s="248"/>
      <c r="R11" s="213"/>
      <c r="S11" s="213"/>
      <c r="T11" s="213"/>
    </row>
    <row r="12" spans="1:21" s="2" customFormat="1" ht="21.75" customHeight="1">
      <c r="A12" s="213"/>
      <c r="B12" s="213"/>
      <c r="C12" s="213"/>
      <c r="D12" s="1029" t="s">
        <v>226</v>
      </c>
      <c r="E12" s="1029"/>
      <c r="F12" s="1029"/>
      <c r="G12" s="1032" t="s">
        <v>1759</v>
      </c>
      <c r="H12" s="1032"/>
      <c r="I12" s="1032"/>
      <c r="J12" s="1032"/>
      <c r="K12" s="1032"/>
      <c r="L12" s="1032"/>
      <c r="M12" s="1032"/>
      <c r="N12" s="1032"/>
      <c r="O12" s="1032"/>
      <c r="P12" s="1032"/>
      <c r="Q12" s="1033"/>
      <c r="R12" s="213"/>
      <c r="S12" s="213"/>
      <c r="T12" s="213"/>
    </row>
    <row r="13" spans="1:21" s="2" customFormat="1" ht="30.75" customHeight="1">
      <c r="A13" s="213"/>
      <c r="B13" s="213"/>
      <c r="C13" s="213"/>
      <c r="D13" s="1007" t="s">
        <v>229</v>
      </c>
      <c r="E13" s="1007"/>
      <c r="F13" s="1007"/>
      <c r="G13" s="1030" t="str">
        <f>はじめに!D7&amp;""</f>
        <v>広島県三原市〇〇町〇〇１２３４－５６</v>
      </c>
      <c r="H13" s="1030"/>
      <c r="I13" s="1030"/>
      <c r="J13" s="1030"/>
      <c r="K13" s="1030"/>
      <c r="L13" s="1030"/>
      <c r="M13" s="1030"/>
      <c r="N13" s="1030"/>
      <c r="O13" s="1030"/>
      <c r="P13" s="1030"/>
      <c r="Q13" s="1031"/>
      <c r="R13" s="213"/>
      <c r="S13" s="213"/>
      <c r="T13" s="213"/>
    </row>
    <row r="14" spans="1:21" s="2" customFormat="1" ht="20.25" customHeight="1">
      <c r="A14" s="213"/>
      <c r="B14" s="213"/>
      <c r="C14" s="213"/>
      <c r="D14" s="213"/>
      <c r="E14" s="213"/>
      <c r="F14" s="249"/>
      <c r="G14" s="213"/>
      <c r="H14" s="213"/>
      <c r="I14" s="213"/>
      <c r="J14" s="213"/>
      <c r="K14" s="213"/>
      <c r="L14" s="213"/>
      <c r="M14" s="213"/>
      <c r="N14" s="213"/>
      <c r="O14" s="213"/>
      <c r="P14" s="213"/>
      <c r="Q14" s="213"/>
      <c r="R14" s="213"/>
      <c r="S14" s="213"/>
      <c r="T14" s="213"/>
    </row>
    <row r="15" spans="1:21" s="2" customFormat="1" ht="21.75" customHeight="1">
      <c r="A15" s="213"/>
      <c r="B15" s="213"/>
      <c r="C15" s="249"/>
      <c r="D15" s="249"/>
      <c r="E15" s="249"/>
      <c r="F15" s="249"/>
      <c r="G15" s="213"/>
      <c r="H15" s="213"/>
      <c r="I15" s="213"/>
      <c r="J15" s="213"/>
      <c r="K15" s="213"/>
      <c r="L15" s="213"/>
      <c r="M15" s="213"/>
      <c r="N15" s="213"/>
      <c r="O15" s="213"/>
      <c r="P15" s="213"/>
      <c r="Q15" s="213"/>
      <c r="R15" s="213"/>
      <c r="S15" s="213"/>
      <c r="T15" s="213"/>
    </row>
    <row r="16" spans="1:21" s="2" customFormat="1" ht="21.75" customHeight="1">
      <c r="A16" s="213"/>
      <c r="B16" s="213"/>
      <c r="C16" s="213"/>
      <c r="D16" s="406" t="s">
        <v>230</v>
      </c>
      <c r="E16" s="1013" t="s">
        <v>231</v>
      </c>
      <c r="F16" s="1013"/>
      <c r="G16" s="1013"/>
      <c r="H16" s="1013"/>
      <c r="I16" s="1013"/>
      <c r="J16" s="1013"/>
      <c r="K16" s="1013"/>
      <c r="L16" s="1013"/>
      <c r="M16" s="1013"/>
      <c r="N16" s="1013"/>
      <c r="O16" s="1013"/>
      <c r="P16" s="1013"/>
      <c r="Q16" s="1013"/>
      <c r="R16" s="1013"/>
      <c r="S16" s="62"/>
      <c r="T16" s="213"/>
    </row>
    <row r="17" spans="1:40" s="2" customFormat="1" ht="16.5" customHeight="1">
      <c r="A17" s="213"/>
      <c r="B17" s="213"/>
      <c r="C17" s="242"/>
      <c r="D17" s="83"/>
      <c r="E17" s="83"/>
      <c r="F17" s="83"/>
      <c r="G17" s="62"/>
      <c r="H17" s="62"/>
      <c r="I17" s="62"/>
      <c r="J17" s="62"/>
      <c r="K17" s="62"/>
      <c r="L17" s="62"/>
      <c r="M17" s="62"/>
      <c r="N17" s="62"/>
      <c r="O17" s="62"/>
      <c r="P17" s="62"/>
      <c r="Q17" s="62"/>
      <c r="R17" s="62"/>
      <c r="S17" s="62"/>
      <c r="T17" s="213"/>
    </row>
    <row r="18" spans="1:40" s="2" customFormat="1" ht="21.75" customHeight="1">
      <c r="A18" s="213"/>
      <c r="B18" s="213"/>
      <c r="C18" s="213"/>
      <c r="D18" s="62" t="s">
        <v>232</v>
      </c>
      <c r="E18" s="62"/>
      <c r="F18" s="245"/>
      <c r="G18" s="83"/>
      <c r="H18" s="83"/>
      <c r="I18" s="83"/>
      <c r="J18" s="62"/>
      <c r="K18" s="62"/>
      <c r="L18" s="62"/>
      <c r="M18" s="62"/>
      <c r="N18" s="62"/>
      <c r="O18" s="62"/>
      <c r="P18" s="62"/>
      <c r="Q18" s="62"/>
      <c r="R18" s="62"/>
      <c r="S18" s="62"/>
      <c r="T18" s="213"/>
    </row>
    <row r="19" spans="1:40" s="2" customFormat="1" ht="21.75" customHeight="1">
      <c r="A19" s="213"/>
      <c r="B19" s="213"/>
      <c r="C19" s="213"/>
      <c r="D19" s="394" t="str">
        <f>参４_申請!B16</f>
        <v>□</v>
      </c>
      <c r="E19" s="1014" t="s">
        <v>233</v>
      </c>
      <c r="F19" s="1015"/>
      <c r="G19" s="1015"/>
      <c r="H19" s="1015"/>
      <c r="I19" s="1015"/>
      <c r="J19" s="1015"/>
      <c r="K19" s="1015"/>
      <c r="L19" s="1015"/>
      <c r="M19" s="1015"/>
      <c r="N19" s="1015"/>
      <c r="O19" s="1015"/>
      <c r="P19" s="1015"/>
      <c r="Q19" s="1016"/>
      <c r="R19" s="616" t="s">
        <v>234</v>
      </c>
      <c r="S19" s="213"/>
      <c r="T19" s="213"/>
    </row>
    <row r="20" spans="1:40" s="2" customFormat="1" ht="21.75" customHeight="1">
      <c r="A20" s="213"/>
      <c r="B20" s="213"/>
      <c r="C20" s="213"/>
      <c r="D20" s="394" t="str">
        <f>参４_申請!B17</f>
        <v>☑</v>
      </c>
      <c r="E20" s="1014" t="s">
        <v>235</v>
      </c>
      <c r="F20" s="1015"/>
      <c r="G20" s="1015"/>
      <c r="H20" s="1015"/>
      <c r="I20" s="1015"/>
      <c r="J20" s="1015"/>
      <c r="K20" s="1015"/>
      <c r="L20" s="1015"/>
      <c r="M20" s="1015"/>
      <c r="N20" s="1015"/>
      <c r="O20" s="1015"/>
      <c r="P20" s="1015"/>
      <c r="Q20" s="1016"/>
      <c r="R20" s="617" t="s">
        <v>236</v>
      </c>
      <c r="S20" s="213"/>
      <c r="T20" s="213"/>
    </row>
    <row r="21" spans="1:40" s="2" customFormat="1" ht="21.75" customHeight="1">
      <c r="A21" s="213"/>
      <c r="B21" s="213"/>
      <c r="C21" s="213"/>
      <c r="D21" s="394" t="str">
        <f>参４_申請!B18</f>
        <v>□</v>
      </c>
      <c r="E21" s="1014" t="s">
        <v>237</v>
      </c>
      <c r="F21" s="1015"/>
      <c r="G21" s="1015"/>
      <c r="H21" s="1015"/>
      <c r="I21" s="1015"/>
      <c r="J21" s="1015"/>
      <c r="K21" s="1015"/>
      <c r="L21" s="1015"/>
      <c r="M21" s="1015"/>
      <c r="N21" s="1015"/>
      <c r="O21" s="1015"/>
      <c r="P21" s="1015"/>
      <c r="Q21" s="1016"/>
      <c r="R21" s="616" t="s">
        <v>238</v>
      </c>
      <c r="S21" s="213"/>
      <c r="T21" s="213"/>
    </row>
    <row r="22" spans="1:40" s="2" customFormat="1" ht="21.75" customHeight="1">
      <c r="A22" s="213"/>
      <c r="B22" s="213"/>
      <c r="C22" s="213"/>
      <c r="D22" s="398" t="s">
        <v>187</v>
      </c>
      <c r="E22" s="1063" t="s">
        <v>239</v>
      </c>
      <c r="F22" s="1064"/>
      <c r="G22" s="1064"/>
      <c r="H22" s="1064"/>
      <c r="I22" s="1064"/>
      <c r="J22" s="1064"/>
      <c r="K22" s="1064"/>
      <c r="L22" s="1064"/>
      <c r="M22" s="1064"/>
      <c r="N22" s="1064"/>
      <c r="O22" s="1064"/>
      <c r="P22" s="1064"/>
      <c r="Q22" s="1065"/>
      <c r="R22" s="616" t="s">
        <v>238</v>
      </c>
      <c r="S22" s="213"/>
      <c r="T22" s="213"/>
    </row>
    <row r="23" spans="1:40" s="2" customFormat="1" ht="28.5" customHeight="1">
      <c r="A23" s="213"/>
      <c r="B23" s="213"/>
      <c r="C23" s="213"/>
      <c r="D23" s="213" t="s">
        <v>240</v>
      </c>
      <c r="E23" s="213"/>
      <c r="F23" s="62"/>
      <c r="G23" s="62"/>
      <c r="H23" s="62"/>
      <c r="I23" s="62"/>
      <c r="J23" s="250"/>
      <c r="K23" s="62"/>
      <c r="L23" s="62"/>
      <c r="M23" s="62"/>
      <c r="N23" s="62"/>
      <c r="O23" s="62"/>
      <c r="P23" s="62"/>
      <c r="Q23" s="62"/>
      <c r="R23" s="62"/>
      <c r="S23" s="62"/>
      <c r="T23" s="213"/>
    </row>
    <row r="24" spans="1:40" s="2" customFormat="1" ht="48.75" customHeight="1">
      <c r="C24" s="11"/>
      <c r="D24" s="13"/>
      <c r="E24" s="13"/>
      <c r="F24" s="22"/>
      <c r="G24" s="22"/>
      <c r="H24" s="22"/>
      <c r="I24" s="22"/>
      <c r="J24" s="22"/>
      <c r="K24" s="22"/>
      <c r="L24" s="22"/>
      <c r="M24" s="22"/>
      <c r="N24" s="22"/>
      <c r="O24" s="22"/>
      <c r="P24" s="22"/>
      <c r="Q24" s="22"/>
      <c r="R24" s="22"/>
      <c r="S24" s="22"/>
    </row>
    <row r="25" spans="1:40" s="2" customFormat="1" ht="14.25" customHeight="1">
      <c r="A25" s="213"/>
      <c r="B25" s="213"/>
      <c r="C25" s="213" t="s">
        <v>223</v>
      </c>
      <c r="D25" s="213"/>
      <c r="E25" s="213"/>
      <c r="F25" s="213"/>
      <c r="G25" s="213"/>
      <c r="H25" s="213"/>
      <c r="I25" s="213"/>
      <c r="J25" s="213"/>
      <c r="K25" s="213"/>
      <c r="L25" s="213"/>
      <c r="M25" s="213"/>
      <c r="N25" s="213"/>
      <c r="O25" s="213"/>
      <c r="P25" s="213"/>
      <c r="Q25" s="213"/>
      <c r="R25" s="213"/>
      <c r="S25" s="213"/>
    </row>
    <row r="26" spans="1:40" s="2" customFormat="1" ht="45.75" customHeight="1">
      <c r="A26" s="214"/>
      <c r="B26" s="214"/>
      <c r="C26" s="1023" t="s">
        <v>241</v>
      </c>
      <c r="D26" s="1023"/>
      <c r="E26" s="1023"/>
      <c r="F26" s="1023"/>
      <c r="G26" s="1023"/>
      <c r="H26" s="1023"/>
      <c r="I26" s="1023"/>
      <c r="J26" s="1023"/>
      <c r="K26" s="1023"/>
      <c r="L26" s="1023"/>
      <c r="M26" s="1023"/>
      <c r="N26" s="1023"/>
      <c r="O26" s="1023"/>
      <c r="P26" s="1023"/>
      <c r="Q26" s="1023"/>
      <c r="R26" s="1023"/>
      <c r="S26" s="1023"/>
    </row>
    <row r="27" spans="1:40" ht="19.5" customHeight="1">
      <c r="A27" s="215" t="s">
        <v>242</v>
      </c>
      <c r="B27" s="70"/>
      <c r="C27" s="70"/>
      <c r="D27" s="70"/>
      <c r="E27" s="70"/>
      <c r="F27" s="70"/>
      <c r="G27" s="70"/>
      <c r="H27" s="70"/>
      <c r="I27" s="70"/>
      <c r="J27" s="70"/>
      <c r="K27" s="70"/>
      <c r="L27" s="62"/>
      <c r="M27" s="62"/>
      <c r="N27" s="62"/>
      <c r="O27" s="62"/>
      <c r="P27" s="62"/>
      <c r="Q27" s="62"/>
      <c r="R27" s="62"/>
      <c r="S27" s="62"/>
    </row>
    <row r="28" spans="1:40" ht="28.5" customHeight="1">
      <c r="A28" s="215"/>
      <c r="B28" s="1023" t="s">
        <v>243</v>
      </c>
      <c r="C28" s="1023"/>
      <c r="D28" s="1023"/>
      <c r="E28" s="1023"/>
      <c r="F28" s="1023"/>
      <c r="G28" s="1023"/>
      <c r="H28" s="1023"/>
      <c r="I28" s="1023"/>
      <c r="J28" s="1023"/>
      <c r="K28" s="1023"/>
      <c r="L28" s="1023"/>
      <c r="M28" s="1023"/>
      <c r="N28" s="1023"/>
      <c r="O28" s="1023"/>
      <c r="P28" s="1023"/>
      <c r="Q28" s="1023"/>
      <c r="R28" s="1023"/>
      <c r="S28" s="1023"/>
      <c r="T28" s="3"/>
      <c r="U28" s="3"/>
      <c r="V28" s="3"/>
      <c r="W28" s="3"/>
      <c r="X28" s="3"/>
      <c r="Y28" s="3"/>
      <c r="Z28" s="3"/>
      <c r="AA28" s="3"/>
      <c r="AB28" s="3"/>
      <c r="AC28" s="3"/>
      <c r="AD28" s="3"/>
      <c r="AE28" s="3"/>
      <c r="AF28" s="3"/>
      <c r="AG28" s="3"/>
      <c r="AH28" s="3"/>
      <c r="AI28" s="3"/>
      <c r="AJ28" s="3"/>
      <c r="AK28" s="3"/>
      <c r="AL28" s="3"/>
      <c r="AM28" s="3"/>
      <c r="AN28" s="3"/>
    </row>
    <row r="29" spans="1:40" ht="20.25" customHeight="1">
      <c r="A29" s="215"/>
      <c r="B29" s="100" t="s">
        <v>244</v>
      </c>
      <c r="C29" s="100"/>
      <c r="D29" s="62"/>
      <c r="E29" s="62"/>
      <c r="F29" s="62"/>
      <c r="G29" s="216"/>
      <c r="H29" s="216"/>
      <c r="I29" s="216"/>
      <c r="J29" s="217"/>
      <c r="K29" s="217"/>
      <c r="L29" s="62"/>
      <c r="M29" s="62"/>
      <c r="N29" s="62"/>
      <c r="O29" s="62"/>
      <c r="P29" s="62"/>
      <c r="Q29" s="62"/>
      <c r="R29" s="62"/>
      <c r="S29" s="62"/>
    </row>
    <row r="30" spans="1:40" ht="38.25" customHeight="1">
      <c r="A30" s="218"/>
      <c r="B30" s="1070"/>
      <c r="C30" s="1071"/>
      <c r="D30" s="1008" t="s">
        <v>245</v>
      </c>
      <c r="E30" s="1009"/>
      <c r="F30" s="1010"/>
      <c r="G30" s="1051" t="s">
        <v>246</v>
      </c>
      <c r="H30" s="1009"/>
      <c r="I30" s="1010"/>
      <c r="J30" s="1052" t="s">
        <v>247</v>
      </c>
      <c r="K30" s="1053"/>
      <c r="L30" s="1051" t="s">
        <v>248</v>
      </c>
      <c r="M30" s="1009"/>
      <c r="N30" s="1010"/>
      <c r="O30" s="1051" t="s">
        <v>248</v>
      </c>
      <c r="P30" s="1054"/>
      <c r="Q30" s="1055"/>
      <c r="R30" s="62"/>
      <c r="S30" s="62"/>
    </row>
    <row r="31" spans="1:40" ht="9" customHeight="1">
      <c r="A31" s="218"/>
      <c r="B31" s="1019" t="s">
        <v>249</v>
      </c>
      <c r="C31" s="1020"/>
      <c r="D31" s="1026"/>
      <c r="E31" s="1039"/>
      <c r="F31" s="1040"/>
      <c r="G31" s="1026"/>
      <c r="H31" s="1039"/>
      <c r="I31" s="1040"/>
      <c r="J31" s="1011"/>
      <c r="K31" s="1012"/>
      <c r="L31" s="1026"/>
      <c r="M31" s="1039"/>
      <c r="N31" s="1040"/>
      <c r="O31" s="1026"/>
      <c r="P31" s="968"/>
      <c r="Q31" s="969"/>
      <c r="R31" s="219"/>
      <c r="S31" s="62"/>
    </row>
    <row r="32" spans="1:40" ht="22.5" customHeight="1">
      <c r="A32" s="218"/>
      <c r="B32" s="1021"/>
      <c r="C32" s="1022"/>
      <c r="D32" s="409" t="s">
        <v>250</v>
      </c>
      <c r="E32" s="553"/>
      <c r="F32" s="411" t="s">
        <v>251</v>
      </c>
      <c r="G32" s="409" t="s">
        <v>250</v>
      </c>
      <c r="H32" s="553"/>
      <c r="I32" s="411" t="s">
        <v>251</v>
      </c>
      <c r="J32" s="932"/>
      <c r="K32" s="933"/>
      <c r="L32" s="409" t="s">
        <v>250</v>
      </c>
      <c r="M32" s="553"/>
      <c r="N32" s="411" t="s">
        <v>251</v>
      </c>
      <c r="O32" s="409" t="s">
        <v>250</v>
      </c>
      <c r="P32" s="553"/>
      <c r="Q32" s="411" t="s">
        <v>251</v>
      </c>
      <c r="R32" s="219"/>
      <c r="S32" s="62"/>
    </row>
    <row r="33" spans="1:23" ht="6.75" customHeight="1">
      <c r="A33" s="218"/>
      <c r="B33" s="1019" t="s">
        <v>252</v>
      </c>
      <c r="C33" s="1020"/>
      <c r="D33" s="967"/>
      <c r="E33" s="968"/>
      <c r="F33" s="969"/>
      <c r="G33" s="967"/>
      <c r="H33" s="968"/>
      <c r="I33" s="969"/>
      <c r="J33" s="1011"/>
      <c r="K33" s="1012"/>
      <c r="L33" s="967"/>
      <c r="M33" s="968"/>
      <c r="N33" s="969"/>
      <c r="O33" s="967"/>
      <c r="P33" s="968"/>
      <c r="Q33" s="969"/>
      <c r="R33" s="219"/>
      <c r="S33" s="62"/>
    </row>
    <row r="34" spans="1:23" ht="22.5" customHeight="1">
      <c r="A34" s="218"/>
      <c r="B34" s="1021"/>
      <c r="C34" s="1022"/>
      <c r="D34" s="409" t="s">
        <v>250</v>
      </c>
      <c r="E34" s="553"/>
      <c r="F34" s="411" t="s">
        <v>251</v>
      </c>
      <c r="G34" s="409" t="s">
        <v>250</v>
      </c>
      <c r="H34" s="553"/>
      <c r="I34" s="411" t="s">
        <v>251</v>
      </c>
      <c r="J34" s="932"/>
      <c r="K34" s="933"/>
      <c r="L34" s="409" t="s">
        <v>250</v>
      </c>
      <c r="M34" s="553"/>
      <c r="N34" s="411" t="s">
        <v>251</v>
      </c>
      <c r="O34" s="409" t="s">
        <v>250</v>
      </c>
      <c r="P34" s="553"/>
      <c r="Q34" s="411" t="s">
        <v>251</v>
      </c>
      <c r="R34" s="219"/>
      <c r="S34" s="62"/>
    </row>
    <row r="35" spans="1:23" ht="6.75" customHeight="1">
      <c r="A35" s="218"/>
      <c r="B35" s="1019" t="s">
        <v>253</v>
      </c>
      <c r="C35" s="1020"/>
      <c r="D35" s="967"/>
      <c r="E35" s="968"/>
      <c r="F35" s="969"/>
      <c r="G35" s="967"/>
      <c r="H35" s="968"/>
      <c r="I35" s="969"/>
      <c r="J35" s="1011"/>
      <c r="K35" s="1012"/>
      <c r="L35" s="967"/>
      <c r="M35" s="968"/>
      <c r="N35" s="969"/>
      <c r="O35" s="967"/>
      <c r="P35" s="968"/>
      <c r="Q35" s="969"/>
      <c r="R35" s="219"/>
      <c r="S35" s="62"/>
    </row>
    <row r="36" spans="1:23" ht="22.5" customHeight="1">
      <c r="A36" s="218"/>
      <c r="B36" s="1021"/>
      <c r="C36" s="1022"/>
      <c r="D36" s="409" t="s">
        <v>250</v>
      </c>
      <c r="E36" s="553"/>
      <c r="F36" s="411" t="s">
        <v>251</v>
      </c>
      <c r="G36" s="409" t="s">
        <v>250</v>
      </c>
      <c r="H36" s="553"/>
      <c r="I36" s="411" t="s">
        <v>251</v>
      </c>
      <c r="J36" s="932"/>
      <c r="K36" s="933"/>
      <c r="L36" s="409" t="s">
        <v>250</v>
      </c>
      <c r="M36" s="553"/>
      <c r="N36" s="411" t="s">
        <v>251</v>
      </c>
      <c r="O36" s="409" t="s">
        <v>250</v>
      </c>
      <c r="P36" s="553"/>
      <c r="Q36" s="411" t="s">
        <v>251</v>
      </c>
      <c r="R36" s="219"/>
      <c r="S36" s="62"/>
    </row>
    <row r="37" spans="1:23" ht="9" customHeight="1">
      <c r="A37" s="218"/>
      <c r="B37" s="1019" t="s">
        <v>254</v>
      </c>
      <c r="C37" s="1020"/>
      <c r="D37" s="936"/>
      <c r="E37" s="937"/>
      <c r="F37" s="938"/>
      <c r="G37" s="936"/>
      <c r="H37" s="937"/>
      <c r="I37" s="938"/>
      <c r="J37" s="986"/>
      <c r="K37" s="987"/>
      <c r="L37" s="967"/>
      <c r="M37" s="968"/>
      <c r="N37" s="969"/>
      <c r="O37" s="967"/>
      <c r="P37" s="968"/>
      <c r="Q37" s="969"/>
      <c r="R37" s="219"/>
      <c r="S37" s="62"/>
    </row>
    <row r="38" spans="1:23" ht="22.5" customHeight="1">
      <c r="A38" s="218"/>
      <c r="B38" s="1021"/>
      <c r="C38" s="1022"/>
      <c r="D38" s="220" t="s">
        <v>250</v>
      </c>
      <c r="E38" s="312">
        <v>7</v>
      </c>
      <c r="F38" s="221" t="s">
        <v>251</v>
      </c>
      <c r="G38" s="220" t="s">
        <v>250</v>
      </c>
      <c r="H38" s="312">
        <v>11</v>
      </c>
      <c r="I38" s="221" t="s">
        <v>251</v>
      </c>
      <c r="J38" s="1024">
        <f>H38-E38+1</f>
        <v>5</v>
      </c>
      <c r="K38" s="1025"/>
      <c r="L38" s="409" t="s">
        <v>250</v>
      </c>
      <c r="M38" s="410"/>
      <c r="N38" s="411" t="s">
        <v>251</v>
      </c>
      <c r="O38" s="409" t="s">
        <v>250</v>
      </c>
      <c r="P38" s="410"/>
      <c r="Q38" s="411" t="s">
        <v>251</v>
      </c>
      <c r="R38" s="219"/>
      <c r="S38" s="62"/>
    </row>
    <row r="39" spans="1:23" ht="9" customHeight="1">
      <c r="A39" s="218"/>
      <c r="B39" s="1019" t="s">
        <v>255</v>
      </c>
      <c r="C39" s="1020"/>
      <c r="D39" s="967"/>
      <c r="E39" s="968"/>
      <c r="F39" s="969"/>
      <c r="G39" s="967"/>
      <c r="H39" s="968"/>
      <c r="I39" s="969"/>
      <c r="J39" s="1011"/>
      <c r="K39" s="1012"/>
      <c r="L39" s="967"/>
      <c r="M39" s="968"/>
      <c r="N39" s="969"/>
      <c r="O39" s="967"/>
      <c r="P39" s="968"/>
      <c r="Q39" s="969"/>
      <c r="R39" s="219"/>
      <c r="S39" s="62"/>
    </row>
    <row r="40" spans="1:23" ht="22.5" customHeight="1">
      <c r="A40" s="218"/>
      <c r="B40" s="1021"/>
      <c r="C40" s="1022"/>
      <c r="D40" s="409" t="s">
        <v>250</v>
      </c>
      <c r="E40" s="553"/>
      <c r="F40" s="411" t="s">
        <v>251</v>
      </c>
      <c r="G40" s="409" t="s">
        <v>250</v>
      </c>
      <c r="H40" s="553"/>
      <c r="I40" s="411" t="s">
        <v>251</v>
      </c>
      <c r="J40" s="932"/>
      <c r="K40" s="933"/>
      <c r="L40" s="409" t="s">
        <v>250</v>
      </c>
      <c r="M40" s="553"/>
      <c r="N40" s="411" t="s">
        <v>251</v>
      </c>
      <c r="O40" s="409" t="s">
        <v>250</v>
      </c>
      <c r="P40" s="553"/>
      <c r="Q40" s="411" t="s">
        <v>251</v>
      </c>
      <c r="R40" s="219"/>
      <c r="S40" s="62"/>
    </row>
    <row r="41" spans="1:23" s="4" customFormat="1" ht="36.75" customHeight="1">
      <c r="A41" s="215"/>
      <c r="B41" s="407" t="s">
        <v>256</v>
      </c>
      <c r="C41" s="222"/>
      <c r="D41" s="222"/>
      <c r="E41" s="222"/>
      <c r="F41" s="222"/>
      <c r="G41" s="222"/>
      <c r="H41" s="222"/>
      <c r="I41" s="222"/>
      <c r="J41" s="222"/>
      <c r="K41" s="222"/>
      <c r="L41" s="222"/>
      <c r="M41" s="222"/>
      <c r="N41" s="222"/>
      <c r="O41" s="222"/>
      <c r="P41" s="222"/>
      <c r="Q41" s="222"/>
      <c r="R41" s="223"/>
      <c r="S41" s="223"/>
      <c r="V41" s="5"/>
    </row>
    <row r="42" spans="1:23" ht="21" customHeight="1">
      <c r="A42" s="224"/>
      <c r="B42" s="1066" t="s">
        <v>257</v>
      </c>
      <c r="C42" s="1067"/>
      <c r="D42" s="618"/>
      <c r="E42" s="225"/>
      <c r="F42" s="225"/>
      <c r="G42" s="225"/>
      <c r="H42" s="225"/>
      <c r="I42" s="225"/>
      <c r="J42" s="225"/>
      <c r="K42" s="225"/>
      <c r="L42" s="225"/>
      <c r="M42" s="226"/>
      <c r="N42" s="226"/>
      <c r="O42" s="988" t="s">
        <v>258</v>
      </c>
      <c r="P42" s="989"/>
      <c r="Q42" s="990"/>
      <c r="R42" s="1003" t="s">
        <v>259</v>
      </c>
      <c r="S42" s="1005" t="s">
        <v>260</v>
      </c>
    </row>
    <row r="43" spans="1:23" ht="21" customHeight="1">
      <c r="A43" s="224"/>
      <c r="B43" s="1068"/>
      <c r="C43" s="1069"/>
      <c r="D43" s="951" t="s">
        <v>261</v>
      </c>
      <c r="E43" s="952"/>
      <c r="F43" s="953"/>
      <c r="G43" s="951" t="s">
        <v>262</v>
      </c>
      <c r="H43" s="952"/>
      <c r="I43" s="953"/>
      <c r="J43" s="951" t="s">
        <v>263</v>
      </c>
      <c r="K43" s="953"/>
      <c r="L43" s="951" t="s">
        <v>264</v>
      </c>
      <c r="M43" s="952"/>
      <c r="N43" s="953"/>
      <c r="O43" s="991"/>
      <c r="P43" s="991"/>
      <c r="Q43" s="992"/>
      <c r="R43" s="1004"/>
      <c r="S43" s="1006"/>
    </row>
    <row r="44" spans="1:23" ht="9" customHeight="1">
      <c r="A44" s="224"/>
      <c r="B44" s="227"/>
      <c r="C44" s="1017" t="s">
        <v>265</v>
      </c>
      <c r="D44" s="1000"/>
      <c r="E44" s="1001"/>
      <c r="F44" s="1002"/>
      <c r="G44" s="1000"/>
      <c r="H44" s="1001"/>
      <c r="I44" s="1002"/>
      <c r="J44" s="1000"/>
      <c r="K44" s="1002"/>
      <c r="L44" s="945"/>
      <c r="M44" s="946"/>
      <c r="N44" s="947"/>
      <c r="O44" s="554"/>
      <c r="P44" s="555"/>
      <c r="Q44" s="556"/>
      <c r="R44" s="228"/>
      <c r="S44" s="588"/>
    </row>
    <row r="45" spans="1:23" ht="22.5" customHeight="1">
      <c r="A45" s="224"/>
      <c r="B45" s="227"/>
      <c r="C45" s="1018"/>
      <c r="D45" s="943">
        <v>0</v>
      </c>
      <c r="E45" s="943"/>
      <c r="F45" s="944"/>
      <c r="G45" s="943">
        <v>0</v>
      </c>
      <c r="H45" s="943"/>
      <c r="I45" s="944"/>
      <c r="J45" s="943">
        <v>0</v>
      </c>
      <c r="K45" s="944"/>
      <c r="L45" s="948"/>
      <c r="M45" s="949"/>
      <c r="N45" s="950"/>
      <c r="O45" s="993">
        <f>SUM(D45,G45,J45)</f>
        <v>0</v>
      </c>
      <c r="P45" s="994"/>
      <c r="Q45" s="995"/>
      <c r="R45" s="557">
        <v>0</v>
      </c>
      <c r="S45" s="589">
        <v>0</v>
      </c>
    </row>
    <row r="46" spans="1:23" ht="9" customHeight="1">
      <c r="A46" s="224"/>
      <c r="B46" s="227"/>
      <c r="C46" s="997" t="s">
        <v>266</v>
      </c>
      <c r="D46" s="973"/>
      <c r="E46" s="975"/>
      <c r="F46" s="974"/>
      <c r="G46" s="973"/>
      <c r="H46" s="975"/>
      <c r="I46" s="974"/>
      <c r="J46" s="973"/>
      <c r="K46" s="974"/>
      <c r="L46" s="973"/>
      <c r="M46" s="975"/>
      <c r="N46" s="974"/>
      <c r="O46" s="973">
        <f>SUM(D46:N46)</f>
        <v>0</v>
      </c>
      <c r="P46" s="975"/>
      <c r="Q46" s="974"/>
      <c r="R46" s="229"/>
      <c r="S46" s="230"/>
    </row>
    <row r="47" spans="1:23" ht="22.5" customHeight="1">
      <c r="A47" s="224"/>
      <c r="B47" s="227"/>
      <c r="C47" s="998"/>
      <c r="D47" s="934">
        <f>別紙１④!$E$63/100</f>
        <v>419.62</v>
      </c>
      <c r="E47" s="934"/>
      <c r="F47" s="935"/>
      <c r="G47" s="934">
        <f>別紙１④!$J$63/100</f>
        <v>0</v>
      </c>
      <c r="H47" s="934"/>
      <c r="I47" s="935"/>
      <c r="J47" s="934">
        <f>別紙１④!$O$63/100</f>
        <v>0</v>
      </c>
      <c r="K47" s="935"/>
      <c r="L47" s="934">
        <f>別紙１④!$T$63/100</f>
        <v>0</v>
      </c>
      <c r="M47" s="934"/>
      <c r="N47" s="934"/>
      <c r="O47" s="1047">
        <f>別紙１④!$C$63/100</f>
        <v>419.62</v>
      </c>
      <c r="P47" s="1048"/>
      <c r="Q47" s="1049"/>
      <c r="R47" s="930">
        <f>SUMIFS(別紙２①!$F$18:$F$64,別紙２①!$Q$18:$Q$64,"荒廃農地")/100</f>
        <v>0</v>
      </c>
      <c r="S47" s="926">
        <f>別紙１④!$I$63+別紙１④!$N$63+別紙１④!$S$63+別紙１④!$X$63+別紙１④!$T$71+別紙１④!$S$80+別紙１④!$S$88+別紙１④!$P$110+別紙１④!$P$119</f>
        <v>558295</v>
      </c>
      <c r="W47" s="92"/>
    </row>
    <row r="48" spans="1:23" ht="73.150000000000006" customHeight="1">
      <c r="A48" s="224"/>
      <c r="B48" s="227"/>
      <c r="C48" s="999"/>
      <c r="D48" s="408" t="s">
        <v>173</v>
      </c>
      <c r="E48" s="928"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急傾斜
緩傾斜
</v>
      </c>
      <c r="F48" s="929"/>
      <c r="G48" s="408" t="s">
        <v>173</v>
      </c>
      <c r="H48" s="928"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929"/>
      <c r="J48" s="408" t="s">
        <v>173</v>
      </c>
      <c r="K48" s="34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408" t="s">
        <v>173</v>
      </c>
      <c r="M48" s="928" t="str">
        <f>IF(別紙１④!T56&gt;0,別紙１④!U56,"")&amp;CHAR(10)&amp;IF(別紙１④!T57&gt;0,別紙１④!U57,"")&amp;CHAR(10)&amp;IF(別紙１④!T58&gt;0,別紙１④!U58,"")&amp;CHAR(10)&amp;IF(別紙１④!T59&gt;0,別紙１④!U59,"")&amp;CHAR(10)&amp;IF(別紙１④!T60&gt;0,別紙１④!U60,"")</f>
        <v xml:space="preserve">
</v>
      </c>
      <c r="N48" s="929"/>
      <c r="O48" s="1050"/>
      <c r="P48" s="934"/>
      <c r="Q48" s="935"/>
      <c r="R48" s="931"/>
      <c r="S48" s="927"/>
    </row>
    <row r="49" spans="1:39" ht="10.5" customHeight="1">
      <c r="A49" s="224"/>
      <c r="B49" s="962" t="s">
        <v>267</v>
      </c>
      <c r="C49" s="964" t="s">
        <v>268</v>
      </c>
      <c r="D49" s="1041">
        <v>0</v>
      </c>
      <c r="E49" s="1042"/>
      <c r="F49" s="1042"/>
      <c r="G49" s="1042"/>
      <c r="H49" s="1042"/>
      <c r="I49" s="1042"/>
      <c r="J49" s="1042"/>
      <c r="K49" s="1042"/>
      <c r="L49" s="1042"/>
      <c r="M49" s="1042"/>
      <c r="N49" s="1042"/>
      <c r="O49" s="1042"/>
      <c r="P49" s="1042"/>
      <c r="Q49" s="1042"/>
      <c r="R49" s="1043"/>
      <c r="S49" s="231"/>
    </row>
    <row r="50" spans="1:39" ht="24" customHeight="1">
      <c r="A50" s="224"/>
      <c r="B50" s="963"/>
      <c r="C50" s="965"/>
      <c r="D50" s="1044">
        <v>0</v>
      </c>
      <c r="E50" s="1045"/>
      <c r="F50" s="1045"/>
      <c r="G50" s="1045"/>
      <c r="H50" s="1045"/>
      <c r="I50" s="1045"/>
      <c r="J50" s="1045"/>
      <c r="K50" s="1045"/>
      <c r="L50" s="1045"/>
      <c r="M50" s="1045"/>
      <c r="N50" s="1045"/>
      <c r="O50" s="1045"/>
      <c r="P50" s="1045"/>
      <c r="Q50" s="1045"/>
      <c r="R50" s="1046"/>
      <c r="S50" s="589">
        <v>0</v>
      </c>
    </row>
    <row r="51" spans="1:39" ht="63" customHeight="1">
      <c r="A51" s="224"/>
      <c r="B51" s="960" t="s">
        <v>269</v>
      </c>
      <c r="C51" s="960"/>
      <c r="D51" s="960"/>
      <c r="E51" s="960"/>
      <c r="F51" s="960"/>
      <c r="G51" s="960"/>
      <c r="H51" s="960"/>
      <c r="I51" s="960"/>
      <c r="J51" s="960"/>
      <c r="K51" s="960"/>
      <c r="L51" s="960"/>
      <c r="M51" s="960"/>
      <c r="N51" s="960"/>
      <c r="O51" s="960"/>
      <c r="P51" s="960"/>
      <c r="Q51" s="960"/>
      <c r="R51" s="960"/>
      <c r="S51" s="960"/>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32"/>
      <c r="B52" s="954" t="s">
        <v>270</v>
      </c>
      <c r="C52" s="955"/>
      <c r="D52" s="955"/>
      <c r="E52" s="955"/>
      <c r="F52" s="956"/>
      <c r="G52" s="961" t="s">
        <v>271</v>
      </c>
      <c r="H52" s="961"/>
      <c r="I52" s="961"/>
      <c r="J52" s="961" t="s">
        <v>272</v>
      </c>
      <c r="K52" s="961"/>
      <c r="L52" s="976" t="s">
        <v>273</v>
      </c>
      <c r="M52" s="977"/>
      <c r="N52" s="978"/>
      <c r="O52" s="233"/>
      <c r="P52" s="233"/>
      <c r="Q52" s="213"/>
      <c r="R52" s="213"/>
      <c r="S52" s="213"/>
    </row>
    <row r="53" spans="1:39" s="2" customFormat="1" ht="9" customHeight="1">
      <c r="A53" s="232"/>
      <c r="B53" s="957"/>
      <c r="C53" s="958"/>
      <c r="D53" s="958"/>
      <c r="E53" s="958"/>
      <c r="F53" s="959"/>
      <c r="G53" s="979"/>
      <c r="H53" s="979"/>
      <c r="I53" s="979"/>
      <c r="J53" s="979"/>
      <c r="K53" s="979"/>
      <c r="L53" s="1062"/>
      <c r="M53" s="1062"/>
      <c r="N53" s="1062"/>
      <c r="O53" s="234"/>
      <c r="P53" s="234"/>
      <c r="Q53" s="213"/>
      <c r="R53" s="213"/>
      <c r="S53" s="213"/>
    </row>
    <row r="54" spans="1:39" s="2" customFormat="1" ht="22.5" customHeight="1">
      <c r="A54" s="232"/>
      <c r="B54" s="957"/>
      <c r="C54" s="958"/>
      <c r="D54" s="958"/>
      <c r="E54" s="958"/>
      <c r="F54" s="959"/>
      <c r="G54" s="971">
        <v>0</v>
      </c>
      <c r="H54" s="971"/>
      <c r="I54" s="972"/>
      <c r="J54" s="972">
        <v>0</v>
      </c>
      <c r="K54" s="972"/>
      <c r="L54" s="980">
        <v>0</v>
      </c>
      <c r="M54" s="981"/>
      <c r="N54" s="982"/>
      <c r="O54" s="235"/>
      <c r="P54" s="235"/>
      <c r="Q54" s="213"/>
      <c r="R54" s="213"/>
      <c r="S54" s="213"/>
    </row>
    <row r="55" spans="1:39" s="2" customFormat="1" ht="9" customHeight="1">
      <c r="A55" s="232"/>
      <c r="B55" s="236"/>
      <c r="C55" s="1056" t="s">
        <v>274</v>
      </c>
      <c r="D55" s="1057"/>
      <c r="E55" s="1057"/>
      <c r="F55" s="1058"/>
      <c r="G55" s="985"/>
      <c r="H55" s="985"/>
      <c r="I55" s="985"/>
      <c r="J55" s="985"/>
      <c r="K55" s="985"/>
      <c r="L55" s="942"/>
      <c r="M55" s="942"/>
      <c r="N55" s="942"/>
      <c r="O55" s="237"/>
      <c r="P55" s="237"/>
      <c r="Q55" s="213"/>
      <c r="R55" s="213"/>
      <c r="S55" s="213"/>
    </row>
    <row r="56" spans="1:39" s="2" customFormat="1" ht="22.5" customHeight="1">
      <c r="A56" s="232"/>
      <c r="B56" s="238"/>
      <c r="C56" s="1059"/>
      <c r="D56" s="1060"/>
      <c r="E56" s="1060"/>
      <c r="F56" s="1061"/>
      <c r="G56" s="972">
        <v>0</v>
      </c>
      <c r="H56" s="972"/>
      <c r="I56" s="972"/>
      <c r="J56" s="972">
        <v>0</v>
      </c>
      <c r="K56" s="972"/>
      <c r="L56" s="980">
        <v>0</v>
      </c>
      <c r="M56" s="981"/>
      <c r="N56" s="982"/>
      <c r="O56" s="235"/>
      <c r="P56" s="235"/>
      <c r="Q56" s="213"/>
      <c r="R56" s="213"/>
      <c r="S56" s="213"/>
    </row>
    <row r="57" spans="1:39" s="2" customFormat="1" ht="18" customHeight="1">
      <c r="A57" s="232"/>
      <c r="B57" s="970" t="s">
        <v>275</v>
      </c>
      <c r="C57" s="970"/>
      <c r="D57" s="970"/>
      <c r="E57" s="970"/>
      <c r="F57" s="970"/>
      <c r="G57" s="970"/>
      <c r="H57" s="970"/>
      <c r="I57" s="970"/>
      <c r="J57" s="970"/>
      <c r="K57" s="970"/>
      <c r="L57" s="970"/>
      <c r="M57" s="970"/>
      <c r="N57" s="970"/>
      <c r="O57" s="970"/>
      <c r="P57" s="970"/>
      <c r="Q57" s="970"/>
      <c r="R57" s="970"/>
      <c r="S57" s="970"/>
    </row>
    <row r="58" spans="1:39" ht="18.600000000000001" customHeight="1">
      <c r="A58" s="65"/>
      <c r="B58" s="222" t="s">
        <v>276</v>
      </c>
      <c r="C58" s="65"/>
      <c r="D58" s="65"/>
      <c r="E58" s="65"/>
      <c r="F58" s="65"/>
      <c r="G58" s="65"/>
      <c r="H58" s="65"/>
      <c r="I58" s="65"/>
      <c r="J58" s="65"/>
      <c r="K58" s="65"/>
      <c r="L58" s="65"/>
      <c r="M58" s="65"/>
      <c r="N58" s="65"/>
      <c r="O58" s="65"/>
      <c r="P58" s="65"/>
      <c r="Q58" s="65"/>
      <c r="R58" s="65"/>
      <c r="S58" s="65"/>
    </row>
    <row r="59" spans="1:39" s="8" customFormat="1" ht="17.45" customHeight="1">
      <c r="A59" s="239"/>
      <c r="B59" s="996" t="s">
        <v>277</v>
      </c>
      <c r="C59" s="996"/>
      <c r="D59" s="996"/>
      <c r="E59" s="996"/>
      <c r="F59" s="996"/>
      <c r="G59" s="996"/>
      <c r="H59" s="996"/>
      <c r="I59" s="996"/>
      <c r="J59" s="996"/>
      <c r="K59" s="996"/>
      <c r="L59" s="996"/>
      <c r="M59" s="996"/>
      <c r="N59" s="996"/>
      <c r="O59" s="996"/>
      <c r="P59" s="996"/>
      <c r="Q59" s="996"/>
      <c r="R59" s="996"/>
      <c r="S59" s="996"/>
    </row>
    <row r="60" spans="1:39" ht="18.600000000000001" customHeight="1">
      <c r="A60" s="65"/>
      <c r="B60" s="222" t="s">
        <v>278</v>
      </c>
      <c r="C60" s="65"/>
      <c r="D60" s="65"/>
      <c r="E60" s="65"/>
      <c r="F60" s="65"/>
      <c r="G60" s="65"/>
      <c r="H60" s="65"/>
      <c r="I60" s="65"/>
      <c r="J60" s="65"/>
      <c r="K60" s="65"/>
      <c r="L60" s="65"/>
      <c r="M60" s="65"/>
      <c r="N60" s="65"/>
      <c r="O60" s="65"/>
      <c r="P60" s="65"/>
      <c r="Q60" s="65"/>
      <c r="R60" s="65"/>
      <c r="S60" s="65"/>
    </row>
    <row r="61" spans="1:39" ht="31.5" customHeight="1">
      <c r="A61" s="239"/>
      <c r="B61" s="983" t="s">
        <v>279</v>
      </c>
      <c r="C61" s="984"/>
      <c r="D61" s="984"/>
      <c r="E61" s="984"/>
      <c r="F61" s="984"/>
      <c r="G61" s="984"/>
      <c r="H61" s="984"/>
      <c r="I61" s="984"/>
      <c r="J61" s="984"/>
      <c r="K61" s="984"/>
      <c r="L61" s="984"/>
      <c r="M61" s="984"/>
      <c r="N61" s="984"/>
      <c r="O61" s="984"/>
      <c r="P61" s="984"/>
      <c r="Q61" s="984"/>
      <c r="R61" s="984"/>
      <c r="S61" s="984"/>
    </row>
    <row r="62" spans="1:39" ht="18.600000000000001" customHeight="1">
      <c r="A62" s="65"/>
      <c r="B62" s="222" t="s">
        <v>280</v>
      </c>
      <c r="C62" s="65"/>
      <c r="D62" s="222"/>
      <c r="E62" s="222"/>
      <c r="F62" s="222"/>
      <c r="G62" s="222"/>
      <c r="H62" s="222"/>
      <c r="I62" s="222"/>
      <c r="J62" s="222"/>
      <c r="K62" s="222"/>
      <c r="L62" s="222"/>
      <c r="M62" s="222"/>
      <c r="N62" s="222"/>
      <c r="O62" s="222"/>
      <c r="P62" s="222"/>
      <c r="Q62" s="222"/>
      <c r="R62" s="65"/>
      <c r="S62" s="65"/>
    </row>
    <row r="63" spans="1:39" ht="30" customHeight="1">
      <c r="A63" s="65"/>
      <c r="B63" s="925" t="s">
        <v>281</v>
      </c>
      <c r="C63" s="925"/>
      <c r="D63" s="925"/>
      <c r="E63" s="925"/>
      <c r="F63" s="925"/>
      <c r="G63" s="65"/>
      <c r="H63" s="65"/>
      <c r="I63" s="65"/>
      <c r="J63" s="65"/>
      <c r="K63" s="65"/>
      <c r="L63" s="65"/>
      <c r="M63" s="65"/>
      <c r="N63" s="65"/>
      <c r="O63" s="65"/>
      <c r="P63" s="65"/>
      <c r="Q63" s="65"/>
      <c r="R63" s="65"/>
      <c r="S63" s="65"/>
    </row>
    <row r="64" spans="1:39" ht="9" customHeight="1">
      <c r="A64" s="65"/>
      <c r="B64" s="939">
        <f>O44+O46-D64</f>
        <v>0</v>
      </c>
      <c r="C64" s="940"/>
      <c r="D64" s="940"/>
      <c r="E64" s="940"/>
      <c r="F64" s="941"/>
      <c r="G64" s="65"/>
      <c r="H64" s="65"/>
      <c r="I64" s="65"/>
      <c r="J64" s="65"/>
      <c r="K64" s="65"/>
      <c r="L64" s="65"/>
      <c r="M64" s="65"/>
      <c r="N64" s="65"/>
      <c r="O64" s="65"/>
      <c r="P64" s="65"/>
      <c r="Q64" s="65"/>
      <c r="R64" s="65"/>
      <c r="S64" s="65"/>
    </row>
    <row r="65" spans="1:39" ht="22.5" customHeight="1">
      <c r="A65" s="65"/>
      <c r="B65" s="966"/>
      <c r="C65" s="966"/>
      <c r="D65" s="966"/>
      <c r="E65" s="966"/>
      <c r="F65" s="966"/>
      <c r="G65" s="240"/>
      <c r="H65" s="240"/>
      <c r="I65" s="240"/>
      <c r="J65" s="240"/>
      <c r="K65" s="240"/>
      <c r="L65" s="240"/>
      <c r="M65" s="240"/>
      <c r="N65" s="240"/>
      <c r="O65" s="240"/>
      <c r="P65" s="240"/>
      <c r="Q65" s="240"/>
      <c r="R65" s="240"/>
      <c r="S65" s="240"/>
      <c r="T65" s="3"/>
      <c r="U65" s="3"/>
      <c r="V65" s="3"/>
      <c r="W65" s="3"/>
      <c r="X65" s="3"/>
    </row>
    <row r="66" spans="1:39" ht="15" customHeight="1">
      <c r="B66" s="792"/>
      <c r="C66" s="792"/>
      <c r="D66" s="792"/>
      <c r="E66" s="792"/>
      <c r="F66" s="792"/>
      <c r="G66" s="792"/>
      <c r="H66" s="792"/>
      <c r="I66" s="792"/>
      <c r="J66" s="792"/>
      <c r="K66" s="792"/>
      <c r="L66" s="792"/>
      <c r="M66" s="792"/>
      <c r="N66" s="792"/>
      <c r="O66" s="792"/>
      <c r="P66" s="792"/>
      <c r="Q66" s="792"/>
      <c r="R66" s="792"/>
      <c r="S66" s="792"/>
      <c r="T66" s="3"/>
      <c r="U66" s="3"/>
      <c r="V66" s="3"/>
      <c r="W66" s="3"/>
      <c r="X66" s="3"/>
      <c r="Y66" s="3"/>
      <c r="Z66" s="3"/>
      <c r="AA66" s="3"/>
      <c r="AB66" s="3"/>
      <c r="AC66" s="3"/>
      <c r="AD66" s="3"/>
      <c r="AE66" s="3"/>
      <c r="AF66" s="3"/>
      <c r="AG66" s="3"/>
      <c r="AH66" s="3"/>
      <c r="AI66" s="3"/>
      <c r="AJ66" s="3"/>
      <c r="AK66" s="3"/>
      <c r="AL66" s="3"/>
      <c r="AM66" s="3"/>
    </row>
    <row r="67" spans="1:39" ht="27.75" customHeight="1">
      <c r="B67" s="1038" t="s">
        <v>282</v>
      </c>
      <c r="C67" s="1038"/>
      <c r="D67" s="1038"/>
      <c r="E67" s="1038"/>
      <c r="F67" s="1038"/>
      <c r="G67" s="1038"/>
      <c r="H67" s="1038"/>
      <c r="I67" s="1038"/>
      <c r="J67" s="1038"/>
      <c r="K67" s="1038"/>
      <c r="L67" s="1038"/>
      <c r="M67" s="1038"/>
      <c r="N67" s="1038"/>
      <c r="O67" s="1038"/>
      <c r="P67" s="1038"/>
      <c r="Q67" s="1038"/>
      <c r="R67" s="1038"/>
      <c r="S67" s="1038"/>
      <c r="T67" s="3"/>
      <c r="U67" s="3"/>
      <c r="V67" s="3"/>
      <c r="W67" s="3"/>
      <c r="X67" s="3"/>
      <c r="Y67" s="3"/>
      <c r="Z67" s="3"/>
      <c r="AA67" s="3"/>
      <c r="AB67" s="3"/>
      <c r="AC67" s="3"/>
      <c r="AD67" s="3"/>
      <c r="AE67" s="3"/>
      <c r="AF67" s="3"/>
      <c r="AG67" s="3"/>
      <c r="AH67" s="3"/>
      <c r="AI67" s="3"/>
      <c r="AJ67" s="3"/>
      <c r="AK67" s="3"/>
      <c r="AL67" s="3"/>
      <c r="AM67" s="3"/>
    </row>
    <row r="68" spans="1:39" ht="15" customHeight="1">
      <c r="B68" s="241"/>
      <c r="C68" s="213"/>
      <c r="D68" s="11"/>
      <c r="E68" s="11"/>
      <c r="F68" s="11"/>
      <c r="G68" s="11"/>
      <c r="H68" s="11"/>
      <c r="I68" s="11"/>
      <c r="J68" s="11"/>
      <c r="K68" s="11"/>
      <c r="L68" s="11"/>
      <c r="M68" s="11"/>
      <c r="N68" s="11"/>
      <c r="O68" s="11"/>
      <c r="P68" s="11"/>
      <c r="Q68" s="11"/>
      <c r="R68" s="11"/>
      <c r="S68" s="11"/>
    </row>
    <row r="69" spans="1:39" ht="24.75" customHeight="1">
      <c r="B69" s="1023"/>
      <c r="C69" s="1023"/>
      <c r="D69" s="1023"/>
      <c r="E69" s="1023"/>
      <c r="F69" s="1023"/>
      <c r="G69" s="1023"/>
      <c r="H69" s="1023"/>
      <c r="I69" s="1023"/>
      <c r="J69" s="1023"/>
      <c r="K69" s="1023"/>
      <c r="L69" s="1023"/>
      <c r="M69" s="1023"/>
      <c r="N69" s="1023"/>
      <c r="O69" s="1023"/>
      <c r="P69" s="1023"/>
      <c r="Q69" s="1023"/>
      <c r="R69" s="1023"/>
      <c r="S69" s="1023"/>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65"/>
      <c r="B1" s="65" t="s">
        <v>283</v>
      </c>
      <c r="C1" s="65"/>
      <c r="D1" s="65"/>
      <c r="E1" s="65"/>
      <c r="F1" s="65"/>
      <c r="G1" s="65"/>
      <c r="H1" s="65"/>
    </row>
    <row r="2" spans="1:8">
      <c r="A2" s="65"/>
      <c r="B2" s="251" t="s">
        <v>284</v>
      </c>
      <c r="C2" s="252"/>
      <c r="D2" s="252"/>
      <c r="E2" s="252"/>
      <c r="F2" s="252"/>
      <c r="G2" s="252"/>
      <c r="H2" s="252" t="s">
        <v>285</v>
      </c>
    </row>
    <row r="3" spans="1:8" s="9" customFormat="1" ht="24" customHeight="1">
      <c r="A3" s="245"/>
      <c r="B3" s="619" t="str">
        <f>別紙１①!D19</f>
        <v>□</v>
      </c>
      <c r="C3" s="245" t="s">
        <v>286</v>
      </c>
      <c r="D3" s="613" t="str">
        <f>別紙１①!D20</f>
        <v>☑</v>
      </c>
      <c r="E3" s="245" t="s">
        <v>287</v>
      </c>
      <c r="F3" s="613" t="str">
        <f>別紙１①!D21</f>
        <v>□</v>
      </c>
      <c r="G3" s="245" t="s">
        <v>288</v>
      </c>
      <c r="H3" s="253" t="str">
        <f>はじめに!D5&amp;""</f>
        <v>〇〇集落協定</v>
      </c>
    </row>
    <row r="4" spans="1:8" s="7" customFormat="1" ht="14.25" customHeight="1">
      <c r="A4" s="254"/>
      <c r="B4" s="255"/>
      <c r="C4" s="256"/>
      <c r="D4" s="257"/>
      <c r="E4" s="256"/>
      <c r="F4" s="257"/>
      <c r="G4" s="256"/>
      <c r="H4" s="258"/>
    </row>
    <row r="5" spans="1:8">
      <c r="B5" s="10"/>
      <c r="C5" s="24"/>
      <c r="D5" s="25"/>
      <c r="E5" s="25"/>
      <c r="F5" s="25"/>
      <c r="G5" s="25"/>
      <c r="H5" s="620"/>
    </row>
    <row r="6" spans="1:8">
      <c r="B6" s="10"/>
      <c r="C6" s="634" t="s">
        <v>1760</v>
      </c>
      <c r="D6" s="27"/>
      <c r="E6" s="27"/>
      <c r="F6" s="27"/>
      <c r="G6" s="27"/>
      <c r="H6" s="28"/>
    </row>
    <row r="7" spans="1:8">
      <c r="B7" s="10"/>
      <c r="C7" s="26"/>
      <c r="D7" s="27"/>
      <c r="E7" s="27"/>
      <c r="F7" s="27"/>
      <c r="G7" s="27"/>
      <c r="H7" s="28"/>
    </row>
    <row r="8" spans="1:8">
      <c r="B8" s="10"/>
      <c r="C8" s="26"/>
      <c r="D8" s="27"/>
      <c r="E8" s="27"/>
      <c r="F8" s="27"/>
      <c r="G8" s="27"/>
      <c r="H8" s="28"/>
    </row>
    <row r="9" spans="1:8">
      <c r="B9" s="10"/>
      <c r="C9" s="26"/>
      <c r="D9" s="27"/>
      <c r="E9" s="27"/>
      <c r="F9" s="27"/>
      <c r="G9" s="27"/>
      <c r="H9" s="28"/>
    </row>
    <row r="10" spans="1:8">
      <c r="B10" s="10"/>
      <c r="C10" s="26"/>
      <c r="D10" s="27"/>
      <c r="E10" s="27"/>
      <c r="F10" s="27"/>
      <c r="G10" s="27"/>
      <c r="H10" s="28"/>
    </row>
    <row r="11" spans="1:8">
      <c r="B11" s="10"/>
      <c r="C11" s="26"/>
      <c r="D11" s="27"/>
      <c r="E11" s="27"/>
      <c r="F11" s="27"/>
      <c r="G11" s="27"/>
      <c r="H11" s="28"/>
    </row>
    <row r="12" spans="1:8">
      <c r="B12" s="10"/>
      <c r="C12" s="26"/>
      <c r="D12" s="27"/>
      <c r="E12" s="27"/>
      <c r="F12" s="27"/>
      <c r="G12" s="27"/>
      <c r="H12" s="28"/>
    </row>
    <row r="13" spans="1:8">
      <c r="B13" s="10"/>
      <c r="C13" s="26"/>
      <c r="D13" s="27"/>
      <c r="E13" s="27"/>
      <c r="F13" s="27"/>
      <c r="G13" s="27"/>
      <c r="H13" s="28"/>
    </row>
    <row r="14" spans="1:8">
      <c r="B14" s="10"/>
      <c r="C14" s="26"/>
      <c r="D14" s="27"/>
      <c r="E14" s="27"/>
      <c r="F14" s="27"/>
      <c r="G14" s="27"/>
      <c r="H14" s="28"/>
    </row>
    <row r="15" spans="1:8">
      <c r="B15" s="10"/>
      <c r="C15" s="26"/>
      <c r="D15" s="27"/>
      <c r="E15" s="27"/>
      <c r="F15" s="27"/>
      <c r="G15" s="27"/>
      <c r="H15" s="28"/>
    </row>
    <row r="16" spans="1:8">
      <c r="B16" s="10"/>
      <c r="C16" s="26"/>
      <c r="D16" s="27"/>
      <c r="E16" s="27"/>
      <c r="F16" s="27"/>
      <c r="G16" s="27"/>
      <c r="H16" s="28"/>
    </row>
    <row r="17" spans="2:8">
      <c r="B17" s="10"/>
      <c r="C17" s="26"/>
      <c r="D17" s="27"/>
      <c r="E17" s="27"/>
      <c r="F17" s="27"/>
      <c r="G17" s="27"/>
      <c r="H17" s="28"/>
    </row>
    <row r="18" spans="2:8">
      <c r="B18" s="10"/>
      <c r="C18" s="26"/>
      <c r="D18" s="27"/>
      <c r="E18" s="27"/>
      <c r="F18" s="27"/>
      <c r="G18" s="27"/>
      <c r="H18" s="28"/>
    </row>
    <row r="19" spans="2:8">
      <c r="B19" s="10"/>
      <c r="C19" s="26"/>
      <c r="D19" s="27"/>
      <c r="E19" s="27"/>
      <c r="F19" s="27"/>
      <c r="G19" s="27"/>
      <c r="H19" s="28"/>
    </row>
    <row r="20" spans="2:8">
      <c r="B20" s="10"/>
      <c r="C20" s="26"/>
      <c r="D20" s="27"/>
      <c r="E20" s="27"/>
      <c r="F20" s="27"/>
      <c r="G20" s="27"/>
      <c r="H20" s="28"/>
    </row>
    <row r="21" spans="2:8">
      <c r="B21" s="10"/>
      <c r="C21" s="26"/>
      <c r="D21" s="27"/>
      <c r="E21" s="27"/>
      <c r="F21" s="27"/>
      <c r="G21" s="27"/>
      <c r="H21" s="28"/>
    </row>
    <row r="22" spans="2:8">
      <c r="B22" s="10"/>
      <c r="C22" s="26"/>
      <c r="D22" s="27"/>
      <c r="E22" s="27"/>
      <c r="F22" s="27"/>
      <c r="G22" s="27"/>
      <c r="H22" s="28"/>
    </row>
    <row r="23" spans="2:8">
      <c r="B23" s="10"/>
      <c r="C23" s="26"/>
      <c r="D23" s="27"/>
      <c r="E23" s="27"/>
      <c r="F23" s="27"/>
      <c r="G23" s="27"/>
      <c r="H23" s="28"/>
    </row>
    <row r="24" spans="2:8">
      <c r="B24" s="10"/>
      <c r="C24" s="26"/>
      <c r="D24" s="27"/>
      <c r="E24" s="27"/>
      <c r="F24" s="27"/>
      <c r="G24" s="27"/>
      <c r="H24" s="28"/>
    </row>
    <row r="25" spans="2:8">
      <c r="B25" s="10"/>
      <c r="C25" s="26"/>
      <c r="D25" s="27"/>
      <c r="E25" s="27"/>
      <c r="F25" s="27"/>
      <c r="G25" s="27"/>
      <c r="H25" s="28"/>
    </row>
    <row r="26" spans="2:8">
      <c r="B26" s="10"/>
      <c r="C26" s="26"/>
      <c r="D26" s="27"/>
      <c r="E26" s="27"/>
      <c r="F26" s="27"/>
      <c r="G26" s="27"/>
      <c r="H26" s="28"/>
    </row>
    <row r="27" spans="2:8">
      <c r="B27" s="10"/>
      <c r="C27" s="26"/>
      <c r="D27" s="27"/>
      <c r="E27" s="27"/>
      <c r="F27" s="27"/>
      <c r="G27" s="27"/>
      <c r="H27" s="28"/>
    </row>
    <row r="28" spans="2:8">
      <c r="B28" s="10"/>
      <c r="C28" s="26"/>
      <c r="D28" s="27"/>
      <c r="E28" s="27"/>
      <c r="F28" s="27"/>
      <c r="G28" s="27"/>
      <c r="H28" s="28"/>
    </row>
    <row r="29" spans="2:8">
      <c r="B29" s="10"/>
      <c r="C29" s="26"/>
      <c r="D29" s="27"/>
      <c r="E29" s="27"/>
      <c r="F29" s="27"/>
      <c r="G29" s="27"/>
      <c r="H29" s="28"/>
    </row>
    <row r="30" spans="2:8">
      <c r="B30" s="10"/>
      <c r="C30" s="26"/>
      <c r="D30" s="27"/>
      <c r="E30" s="27"/>
      <c r="F30" s="27"/>
      <c r="G30" s="27"/>
      <c r="H30" s="28"/>
    </row>
    <row r="31" spans="2:8">
      <c r="B31" s="10"/>
      <c r="C31" s="29"/>
      <c r="D31" s="23"/>
      <c r="E31" s="23"/>
      <c r="F31" s="23"/>
      <c r="G31" s="23"/>
      <c r="H31" s="30"/>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0"/>
  <sheetViews>
    <sheetView showGridLines="0" view="pageBreakPreview" zoomScale="70" zoomScaleNormal="100" zoomScaleSheetLayoutView="70" workbookViewId="0"/>
  </sheetViews>
  <sheetFormatPr defaultColWidth="5.625" defaultRowHeight="28.5"/>
  <cols>
    <col min="1" max="1" width="17.375" style="33" customWidth="1"/>
    <col min="2" max="2" width="32.625" style="33" customWidth="1"/>
    <col min="3" max="3" width="41.625" style="33" customWidth="1"/>
    <col min="4" max="7" width="6" style="33" customWidth="1"/>
    <col min="8" max="9" width="10.375" style="33" customWidth="1"/>
    <col min="10" max="10" width="5.875" style="93" customWidth="1"/>
    <col min="11" max="11" width="11.125" style="33" customWidth="1"/>
    <col min="12" max="14" width="5.375" style="33" customWidth="1"/>
    <col min="15" max="35" width="5.625" style="33"/>
    <col min="36" max="36" width="5.625" style="93"/>
    <col min="37" max="254" width="5.625" style="33"/>
    <col min="255" max="256" width="7.375" style="33" customWidth="1"/>
    <col min="257" max="510" width="5.625" style="33"/>
    <col min="511" max="512" width="7.375" style="33" customWidth="1"/>
    <col min="513" max="766" width="5.625" style="33"/>
    <col min="767" max="768" width="7.375" style="33" customWidth="1"/>
    <col min="769" max="1022" width="5.625" style="33"/>
    <col min="1023" max="1024" width="7.375" style="33" customWidth="1"/>
    <col min="1025" max="1278" width="5.625" style="33"/>
    <col min="1279" max="1280" width="7.375" style="33" customWidth="1"/>
    <col min="1281" max="1534" width="5.625" style="33"/>
    <col min="1535" max="1536" width="7.375" style="33" customWidth="1"/>
    <col min="1537" max="1790" width="5.625" style="33"/>
    <col min="1791" max="1792" width="7.375" style="33" customWidth="1"/>
    <col min="1793" max="2046" width="5.625" style="33"/>
    <col min="2047" max="2048" width="7.375" style="33" customWidth="1"/>
    <col min="2049" max="2302" width="5.625" style="33"/>
    <col min="2303" max="2304" width="7.375" style="33" customWidth="1"/>
    <col min="2305" max="2558" width="5.625" style="33"/>
    <col min="2559" max="2560" width="7.375" style="33" customWidth="1"/>
    <col min="2561" max="2814" width="5.625" style="33"/>
    <col min="2815" max="2816" width="7.375" style="33" customWidth="1"/>
    <col min="2817" max="3070" width="5.625" style="33"/>
    <col min="3071" max="3072" width="7.375" style="33" customWidth="1"/>
    <col min="3073" max="3326" width="5.625" style="33"/>
    <col min="3327" max="3328" width="7.375" style="33" customWidth="1"/>
    <col min="3329" max="3582" width="5.625" style="33"/>
    <col min="3583" max="3584" width="7.375" style="33" customWidth="1"/>
    <col min="3585" max="3838" width="5.625" style="33"/>
    <col min="3839" max="3840" width="7.375" style="33" customWidth="1"/>
    <col min="3841" max="4094" width="5.625" style="33"/>
    <col min="4095" max="4096" width="7.375" style="33" customWidth="1"/>
    <col min="4097" max="4350" width="5.625" style="33"/>
    <col min="4351" max="4352" width="7.375" style="33" customWidth="1"/>
    <col min="4353" max="4606" width="5.625" style="33"/>
    <col min="4607" max="4608" width="7.375" style="33" customWidth="1"/>
    <col min="4609" max="4862" width="5.625" style="33"/>
    <col min="4863" max="4864" width="7.375" style="33" customWidth="1"/>
    <col min="4865" max="5118" width="5.625" style="33"/>
    <col min="5119" max="5120" width="7.375" style="33" customWidth="1"/>
    <col min="5121" max="5374" width="5.625" style="33"/>
    <col min="5375" max="5376" width="7.375" style="33" customWidth="1"/>
    <col min="5377" max="5630" width="5.625" style="33"/>
    <col min="5631" max="5632" width="7.375" style="33" customWidth="1"/>
    <col min="5633" max="5886" width="5.625" style="33"/>
    <col min="5887" max="5888" width="7.375" style="33" customWidth="1"/>
    <col min="5889" max="6142" width="5.625" style="33"/>
    <col min="6143" max="6144" width="7.375" style="33" customWidth="1"/>
    <col min="6145" max="6398" width="5.625" style="33"/>
    <col min="6399" max="6400" width="7.375" style="33" customWidth="1"/>
    <col min="6401" max="6654" width="5.625" style="33"/>
    <col min="6655" max="6656" width="7.375" style="33" customWidth="1"/>
    <col min="6657" max="6910" width="5.625" style="33"/>
    <col min="6911" max="6912" width="7.375" style="33" customWidth="1"/>
    <col min="6913" max="7166" width="5.625" style="33"/>
    <col min="7167" max="7168" width="7.375" style="33" customWidth="1"/>
    <col min="7169" max="7422" width="5.625" style="33"/>
    <col min="7423" max="7424" width="7.375" style="33" customWidth="1"/>
    <col min="7425" max="7678" width="5.625" style="33"/>
    <col min="7679" max="7680" width="7.375" style="33" customWidth="1"/>
    <col min="7681" max="7934" width="5.625" style="33"/>
    <col min="7935" max="7936" width="7.375" style="33" customWidth="1"/>
    <col min="7937" max="8190" width="5.625" style="33"/>
    <col min="8191" max="8192" width="7.375" style="33" customWidth="1"/>
    <col min="8193" max="8446" width="5.625" style="33"/>
    <col min="8447" max="8448" width="7.375" style="33" customWidth="1"/>
    <col min="8449" max="8702" width="5.625" style="33"/>
    <col min="8703" max="8704" width="7.375" style="33" customWidth="1"/>
    <col min="8705" max="8958" width="5.625" style="33"/>
    <col min="8959" max="8960" width="7.375" style="33" customWidth="1"/>
    <col min="8961" max="9214" width="5.625" style="33"/>
    <col min="9215" max="9216" width="7.375" style="33" customWidth="1"/>
    <col min="9217" max="9470" width="5.625" style="33"/>
    <col min="9471" max="9472" width="7.375" style="33" customWidth="1"/>
    <col min="9473" max="9726" width="5.625" style="33"/>
    <col min="9727" max="9728" width="7.375" style="33" customWidth="1"/>
    <col min="9729" max="9982" width="5.625" style="33"/>
    <col min="9983" max="9984" width="7.375" style="33" customWidth="1"/>
    <col min="9985" max="10238" width="5.625" style="33"/>
    <col min="10239" max="10240" width="7.375" style="33" customWidth="1"/>
    <col min="10241" max="10494" width="5.625" style="33"/>
    <col min="10495" max="10496" width="7.375" style="33" customWidth="1"/>
    <col min="10497" max="10750" width="5.625" style="33"/>
    <col min="10751" max="10752" width="7.375" style="33" customWidth="1"/>
    <col min="10753" max="11006" width="5.625" style="33"/>
    <col min="11007" max="11008" width="7.375" style="33" customWidth="1"/>
    <col min="11009" max="11262" width="5.625" style="33"/>
    <col min="11263" max="11264" width="7.375" style="33" customWidth="1"/>
    <col min="11265" max="11518" width="5.625" style="33"/>
    <col min="11519" max="11520" width="7.375" style="33" customWidth="1"/>
    <col min="11521" max="11774" width="5.625" style="33"/>
    <col min="11775" max="11776" width="7.375" style="33" customWidth="1"/>
    <col min="11777" max="12030" width="5.625" style="33"/>
    <col min="12031" max="12032" width="7.375" style="33" customWidth="1"/>
    <col min="12033" max="12286" width="5.625" style="33"/>
    <col min="12287" max="12288" width="7.375" style="33" customWidth="1"/>
    <col min="12289" max="12542" width="5.625" style="33"/>
    <col min="12543" max="12544" width="7.375" style="33" customWidth="1"/>
    <col min="12545" max="12798" width="5.625" style="33"/>
    <col min="12799" max="12800" width="7.375" style="33" customWidth="1"/>
    <col min="12801" max="13054" width="5.625" style="33"/>
    <col min="13055" max="13056" width="7.375" style="33" customWidth="1"/>
    <col min="13057" max="13310" width="5.625" style="33"/>
    <col min="13311" max="13312" width="7.375" style="33" customWidth="1"/>
    <col min="13313" max="13566" width="5.625" style="33"/>
    <col min="13567" max="13568" width="7.375" style="33" customWidth="1"/>
    <col min="13569" max="13822" width="5.625" style="33"/>
    <col min="13823" max="13824" width="7.375" style="33" customWidth="1"/>
    <col min="13825" max="14078" width="5.625" style="33"/>
    <col min="14079" max="14080" width="7.375" style="33" customWidth="1"/>
    <col min="14081" max="14334" width="5.625" style="33"/>
    <col min="14335" max="14336" width="7.375" style="33" customWidth="1"/>
    <col min="14337" max="14590" width="5.625" style="33"/>
    <col min="14591" max="14592" width="7.375" style="33" customWidth="1"/>
    <col min="14593" max="14846" width="5.625" style="33"/>
    <col min="14847" max="14848" width="7.375" style="33" customWidth="1"/>
    <col min="14849" max="15102" width="5.625" style="33"/>
    <col min="15103" max="15104" width="7.375" style="33" customWidth="1"/>
    <col min="15105" max="15358" width="5.625" style="33"/>
    <col min="15359" max="15360" width="7.375" style="33" customWidth="1"/>
    <col min="15361" max="15614" width="5.625" style="33"/>
    <col min="15615" max="15616" width="7.375" style="33" customWidth="1"/>
    <col min="15617" max="15870" width="5.625" style="33"/>
    <col min="15871" max="15872" width="7.375" style="33" customWidth="1"/>
    <col min="15873" max="16126" width="5.625" style="33"/>
    <col min="16127" max="16128" width="7.375" style="33" customWidth="1"/>
    <col min="16129" max="16384" width="5.625" style="33"/>
  </cols>
  <sheetData>
    <row r="1" spans="1:37" ht="36.75" customHeight="1">
      <c r="A1" s="31" t="s">
        <v>289</v>
      </c>
      <c r="B1" s="32"/>
      <c r="C1" s="32"/>
      <c r="D1" s="32"/>
      <c r="E1" s="32"/>
      <c r="F1" s="32"/>
      <c r="G1" s="32"/>
      <c r="H1" s="32"/>
      <c r="I1" s="32"/>
    </row>
    <row r="2" spans="1:37" ht="28.5" customHeight="1">
      <c r="A2" s="1076" t="s">
        <v>290</v>
      </c>
      <c r="B2" s="1076"/>
      <c r="C2" s="1076"/>
      <c r="D2" s="1076"/>
      <c r="E2" s="1076"/>
      <c r="F2" s="1076"/>
      <c r="G2" s="1076"/>
      <c r="H2" s="1076"/>
      <c r="I2" s="1076"/>
      <c r="J2" s="95"/>
      <c r="K2" s="1081"/>
      <c r="L2" s="1081"/>
      <c r="M2" s="1081"/>
      <c r="N2" s="1081"/>
      <c r="O2" s="1081"/>
    </row>
    <row r="3" spans="1:37" ht="28.5" customHeight="1">
      <c r="A3" s="34"/>
      <c r="B3" s="35"/>
      <c r="C3" s="35"/>
      <c r="D3" s="35"/>
      <c r="E3" s="35"/>
      <c r="F3" s="35"/>
      <c r="G3" s="35"/>
      <c r="H3" s="778">
        <f>参４_申請!E3</f>
        <v>45898</v>
      </c>
      <c r="I3" s="77"/>
      <c r="J3" s="95"/>
      <c r="K3" s="36"/>
      <c r="L3" s="36"/>
      <c r="M3" s="36"/>
      <c r="N3" s="36"/>
      <c r="O3" s="36"/>
    </row>
    <row r="4" spans="1:37" ht="39.75" customHeight="1">
      <c r="A4" s="1077" t="s">
        <v>291</v>
      </c>
      <c r="B4" s="1080" t="s">
        <v>292</v>
      </c>
      <c r="C4" s="1077" t="s">
        <v>293</v>
      </c>
      <c r="D4" s="1083" t="s">
        <v>294</v>
      </c>
      <c r="E4" s="1084"/>
      <c r="F4" s="1085"/>
      <c r="G4" s="1086" t="s">
        <v>295</v>
      </c>
      <c r="H4" s="1087"/>
      <c r="I4" s="1088"/>
      <c r="J4" s="1086" t="s">
        <v>255</v>
      </c>
      <c r="K4" s="1089"/>
      <c r="L4" s="1089"/>
      <c r="M4" s="1089"/>
      <c r="N4" s="1090"/>
      <c r="O4" s="37"/>
    </row>
    <row r="5" spans="1:37" ht="39.75" customHeight="1">
      <c r="A5" s="1078"/>
      <c r="B5" s="1078"/>
      <c r="C5" s="1078"/>
      <c r="D5" s="205"/>
      <c r="E5" s="1080" t="s">
        <v>296</v>
      </c>
      <c r="F5" s="1080" t="s">
        <v>297</v>
      </c>
      <c r="G5" s="206"/>
      <c r="H5" s="1092" t="s">
        <v>296</v>
      </c>
      <c r="I5" s="1092" t="s">
        <v>298</v>
      </c>
      <c r="J5" s="206"/>
      <c r="K5" s="1093" t="s">
        <v>299</v>
      </c>
      <c r="L5" s="1094" t="s">
        <v>300</v>
      </c>
      <c r="M5" s="1087"/>
      <c r="N5" s="1088"/>
      <c r="O5" s="37"/>
    </row>
    <row r="6" spans="1:37" ht="63.75" customHeight="1">
      <c r="A6" s="1079"/>
      <c r="B6" s="1079"/>
      <c r="C6" s="1079"/>
      <c r="D6" s="207"/>
      <c r="E6" s="1091"/>
      <c r="F6" s="1091"/>
      <c r="G6" s="208"/>
      <c r="H6" s="1092"/>
      <c r="I6" s="1092"/>
      <c r="J6" s="209"/>
      <c r="K6" s="1093"/>
      <c r="L6" s="210" t="s">
        <v>301</v>
      </c>
      <c r="M6" s="204" t="s">
        <v>302</v>
      </c>
      <c r="N6" s="204" t="s">
        <v>303</v>
      </c>
      <c r="O6" s="36"/>
    </row>
    <row r="7" spans="1:37" ht="27" customHeight="1">
      <c r="A7" s="313" t="s">
        <v>304</v>
      </c>
      <c r="B7" s="313" t="s">
        <v>305</v>
      </c>
      <c r="C7" s="314" t="s">
        <v>1753</v>
      </c>
      <c r="D7" s="558"/>
      <c r="E7" s="558"/>
      <c r="F7" s="558"/>
      <c r="G7" s="313" t="s">
        <v>306</v>
      </c>
      <c r="H7" s="315" t="s">
        <v>307</v>
      </c>
      <c r="I7" s="315" t="s">
        <v>308</v>
      </c>
      <c r="J7" s="560"/>
      <c r="K7" s="561"/>
      <c r="L7" s="562"/>
      <c r="M7" s="562"/>
      <c r="N7" s="562"/>
      <c r="AJ7" s="93" t="s">
        <v>167</v>
      </c>
      <c r="AK7" s="94"/>
    </row>
    <row r="8" spans="1:37" ht="27" customHeight="1">
      <c r="A8" s="313" t="s">
        <v>309</v>
      </c>
      <c r="B8" s="313" t="s">
        <v>305</v>
      </c>
      <c r="C8" s="314" t="s">
        <v>1761</v>
      </c>
      <c r="D8" s="558"/>
      <c r="E8" s="558"/>
      <c r="F8" s="558"/>
      <c r="G8" s="313" t="s">
        <v>306</v>
      </c>
      <c r="H8" s="316" t="s">
        <v>310</v>
      </c>
      <c r="I8" s="316" t="s">
        <v>311</v>
      </c>
      <c r="J8" s="560"/>
      <c r="K8" s="563"/>
      <c r="L8" s="562"/>
      <c r="M8" s="562"/>
      <c r="N8" s="562"/>
      <c r="AJ8" s="93" t="s">
        <v>167</v>
      </c>
      <c r="AK8" s="94"/>
    </row>
    <row r="9" spans="1:37" ht="27" customHeight="1">
      <c r="A9" s="313" t="s">
        <v>312</v>
      </c>
      <c r="B9" s="313" t="s">
        <v>305</v>
      </c>
      <c r="C9" s="314" t="s">
        <v>1762</v>
      </c>
      <c r="D9" s="558"/>
      <c r="E9" s="558"/>
      <c r="F9" s="558"/>
      <c r="G9" s="313" t="s">
        <v>306</v>
      </c>
      <c r="H9" s="316" t="s">
        <v>310</v>
      </c>
      <c r="I9" s="316" t="s">
        <v>313</v>
      </c>
      <c r="J9" s="560"/>
      <c r="K9" s="563"/>
      <c r="L9" s="562"/>
      <c r="M9" s="562"/>
      <c r="N9" s="562"/>
      <c r="AJ9" s="93" t="s">
        <v>167</v>
      </c>
      <c r="AK9" s="94"/>
    </row>
    <row r="10" spans="1:37" ht="27" customHeight="1">
      <c r="A10" s="313"/>
      <c r="B10" s="313" t="s">
        <v>1779</v>
      </c>
      <c r="C10" s="314" t="s">
        <v>1763</v>
      </c>
      <c r="D10" s="558"/>
      <c r="E10" s="558"/>
      <c r="F10" s="558"/>
      <c r="G10" s="313" t="s">
        <v>306</v>
      </c>
      <c r="H10" s="316" t="s">
        <v>314</v>
      </c>
      <c r="I10" s="316" t="s">
        <v>315</v>
      </c>
      <c r="J10" s="560"/>
      <c r="K10" s="563"/>
      <c r="L10" s="562"/>
      <c r="M10" s="562"/>
      <c r="N10" s="562"/>
      <c r="AJ10" s="93" t="s">
        <v>167</v>
      </c>
      <c r="AK10" s="94"/>
    </row>
    <row r="11" spans="1:37" ht="27" customHeight="1">
      <c r="A11" s="313"/>
      <c r="B11" s="313" t="s">
        <v>1780</v>
      </c>
      <c r="C11" s="314" t="s">
        <v>1764</v>
      </c>
      <c r="D11" s="558"/>
      <c r="E11" s="558"/>
      <c r="F11" s="558"/>
      <c r="G11" s="313" t="s">
        <v>306</v>
      </c>
      <c r="H11" s="316" t="s">
        <v>314</v>
      </c>
      <c r="I11" s="316" t="s">
        <v>315</v>
      </c>
      <c r="J11" s="560"/>
      <c r="K11" s="563"/>
      <c r="L11" s="562"/>
      <c r="M11" s="562"/>
      <c r="N11" s="562"/>
      <c r="AJ11" s="93" t="s">
        <v>167</v>
      </c>
      <c r="AK11" s="94"/>
    </row>
    <row r="12" spans="1:37" ht="27" customHeight="1">
      <c r="A12" s="313"/>
      <c r="B12" s="313" t="s">
        <v>1781</v>
      </c>
      <c r="C12" s="314" t="s">
        <v>1765</v>
      </c>
      <c r="D12" s="558"/>
      <c r="E12" s="558"/>
      <c r="F12" s="558"/>
      <c r="G12" s="313" t="s">
        <v>306</v>
      </c>
      <c r="H12" s="316" t="s">
        <v>317</v>
      </c>
      <c r="I12" s="316" t="s">
        <v>315</v>
      </c>
      <c r="J12" s="560"/>
      <c r="K12" s="563"/>
      <c r="L12" s="562"/>
      <c r="M12" s="562"/>
      <c r="N12" s="562"/>
      <c r="AJ12" s="93" t="s">
        <v>167</v>
      </c>
      <c r="AK12" s="94"/>
    </row>
    <row r="13" spans="1:37" ht="27" customHeight="1">
      <c r="A13" s="313"/>
      <c r="B13" s="313" t="s">
        <v>1782</v>
      </c>
      <c r="C13" s="314" t="s">
        <v>1766</v>
      </c>
      <c r="D13" s="558"/>
      <c r="E13" s="558"/>
      <c r="F13" s="558"/>
      <c r="G13" s="313" t="s">
        <v>306</v>
      </c>
      <c r="H13" s="316" t="s">
        <v>318</v>
      </c>
      <c r="I13" s="316" t="s">
        <v>315</v>
      </c>
      <c r="J13" s="560"/>
      <c r="K13" s="563"/>
      <c r="L13" s="562"/>
      <c r="M13" s="562"/>
      <c r="N13" s="562"/>
      <c r="AJ13" s="93" t="s">
        <v>167</v>
      </c>
      <c r="AK13" s="94"/>
    </row>
    <row r="14" spans="1:37" ht="27" customHeight="1">
      <c r="A14" s="313"/>
      <c r="B14" s="313" t="s">
        <v>305</v>
      </c>
      <c r="C14" s="314" t="s">
        <v>1767</v>
      </c>
      <c r="D14" s="558"/>
      <c r="E14" s="558"/>
      <c r="F14" s="558"/>
      <c r="G14" s="313" t="s">
        <v>306</v>
      </c>
      <c r="H14" s="316" t="s">
        <v>307</v>
      </c>
      <c r="I14" s="316" t="s">
        <v>1785</v>
      </c>
      <c r="J14" s="560"/>
      <c r="K14" s="563"/>
      <c r="L14" s="562"/>
      <c r="M14" s="562"/>
      <c r="N14" s="562"/>
      <c r="AJ14" s="93" t="s">
        <v>167</v>
      </c>
      <c r="AK14" s="94"/>
    </row>
    <row r="15" spans="1:37" ht="27" customHeight="1">
      <c r="A15" s="313"/>
      <c r="B15" s="313" t="s">
        <v>1783</v>
      </c>
      <c r="C15" s="314" t="s">
        <v>1768</v>
      </c>
      <c r="D15" s="558"/>
      <c r="E15" s="558"/>
      <c r="F15" s="558"/>
      <c r="G15" s="313" t="s">
        <v>306</v>
      </c>
      <c r="H15" s="316" t="s">
        <v>316</v>
      </c>
      <c r="I15" s="316" t="s">
        <v>315</v>
      </c>
      <c r="J15" s="560"/>
      <c r="K15" s="563"/>
      <c r="L15" s="562"/>
      <c r="M15" s="562"/>
      <c r="N15" s="562"/>
      <c r="AJ15" s="93" t="s">
        <v>167</v>
      </c>
      <c r="AK15" s="94"/>
    </row>
    <row r="16" spans="1:37" ht="27" customHeight="1">
      <c r="A16" s="313"/>
      <c r="B16" s="313" t="s">
        <v>1784</v>
      </c>
      <c r="C16" s="314" t="s">
        <v>1769</v>
      </c>
      <c r="D16" s="558"/>
      <c r="E16" s="558"/>
      <c r="F16" s="558"/>
      <c r="G16" s="313" t="s">
        <v>306</v>
      </c>
      <c r="H16" s="316" t="s">
        <v>319</v>
      </c>
      <c r="I16" s="316" t="s">
        <v>315</v>
      </c>
      <c r="J16" s="560"/>
      <c r="K16" s="563"/>
      <c r="L16" s="562"/>
      <c r="M16" s="562"/>
      <c r="N16" s="562"/>
      <c r="AJ16" s="93" t="s">
        <v>167</v>
      </c>
      <c r="AK16" s="94"/>
    </row>
    <row r="17" spans="1:37" ht="27" customHeight="1">
      <c r="A17" s="313"/>
      <c r="B17" s="313" t="s">
        <v>305</v>
      </c>
      <c r="C17" s="314" t="s">
        <v>1770</v>
      </c>
      <c r="D17" s="558"/>
      <c r="E17" s="558"/>
      <c r="F17" s="558"/>
      <c r="G17" s="313" t="s">
        <v>306</v>
      </c>
      <c r="H17" s="316" t="s">
        <v>320</v>
      </c>
      <c r="I17" s="316" t="s">
        <v>2114</v>
      </c>
      <c r="J17" s="560"/>
      <c r="K17" s="563"/>
      <c r="L17" s="562"/>
      <c r="M17" s="562"/>
      <c r="N17" s="562"/>
      <c r="AJ17" s="93" t="s">
        <v>167</v>
      </c>
      <c r="AK17" s="94"/>
    </row>
    <row r="18" spans="1:37" ht="27" customHeight="1">
      <c r="A18" s="313"/>
      <c r="B18" s="313" t="s">
        <v>305</v>
      </c>
      <c r="C18" s="314" t="s">
        <v>1771</v>
      </c>
      <c r="D18" s="558"/>
      <c r="E18" s="558"/>
      <c r="F18" s="558"/>
      <c r="G18" s="313" t="s">
        <v>306</v>
      </c>
      <c r="H18" s="316" t="s">
        <v>320</v>
      </c>
      <c r="I18" s="316" t="s">
        <v>321</v>
      </c>
      <c r="J18" s="560"/>
      <c r="K18" s="563"/>
      <c r="L18" s="562"/>
      <c r="M18" s="562"/>
      <c r="N18" s="562"/>
      <c r="AJ18" s="93" t="s">
        <v>167</v>
      </c>
      <c r="AK18" s="94"/>
    </row>
    <row r="19" spans="1:37" ht="27" customHeight="1">
      <c r="A19" s="313"/>
      <c r="B19" s="313" t="s">
        <v>305</v>
      </c>
      <c r="C19" s="314" t="s">
        <v>1772</v>
      </c>
      <c r="D19" s="558"/>
      <c r="E19" s="558"/>
      <c r="F19" s="558"/>
      <c r="G19" s="313" t="s">
        <v>306</v>
      </c>
      <c r="H19" s="316" t="s">
        <v>310</v>
      </c>
      <c r="I19" s="316" t="s">
        <v>1786</v>
      </c>
      <c r="J19" s="560"/>
      <c r="K19" s="563"/>
      <c r="L19" s="562"/>
      <c r="M19" s="562"/>
      <c r="N19" s="562"/>
      <c r="AJ19" s="93" t="s">
        <v>167</v>
      </c>
      <c r="AK19" s="94"/>
    </row>
    <row r="20" spans="1:37" ht="27" customHeight="1">
      <c r="A20" s="313"/>
      <c r="B20" s="313" t="s">
        <v>305</v>
      </c>
      <c r="C20" s="314" t="s">
        <v>1773</v>
      </c>
      <c r="D20" s="558"/>
      <c r="E20" s="558"/>
      <c r="F20" s="558"/>
      <c r="G20" s="313" t="s">
        <v>306</v>
      </c>
      <c r="H20" s="316" t="s">
        <v>307</v>
      </c>
      <c r="I20" s="316" t="s">
        <v>322</v>
      </c>
      <c r="J20" s="560"/>
      <c r="K20" s="564"/>
      <c r="L20" s="562"/>
      <c r="M20" s="562"/>
      <c r="N20" s="562"/>
      <c r="AJ20" s="93" t="s">
        <v>167</v>
      </c>
      <c r="AK20" s="94"/>
    </row>
    <row r="21" spans="1:37" ht="27" customHeight="1">
      <c r="A21" s="313"/>
      <c r="B21" s="313" t="s">
        <v>305</v>
      </c>
      <c r="C21" s="314" t="s">
        <v>1774</v>
      </c>
      <c r="D21" s="558"/>
      <c r="E21" s="558"/>
      <c r="F21" s="558"/>
      <c r="G21" s="313" t="s">
        <v>306</v>
      </c>
      <c r="H21" s="316" t="s">
        <v>310</v>
      </c>
      <c r="I21" s="316" t="s">
        <v>323</v>
      </c>
      <c r="J21" s="560"/>
      <c r="K21" s="563"/>
      <c r="L21" s="562"/>
      <c r="M21" s="562"/>
      <c r="N21" s="562"/>
      <c r="AJ21" s="93" t="s">
        <v>167</v>
      </c>
      <c r="AK21" s="94"/>
    </row>
    <row r="22" spans="1:37" ht="27" customHeight="1">
      <c r="A22" s="313"/>
      <c r="B22" s="313" t="s">
        <v>305</v>
      </c>
      <c r="C22" s="314" t="s">
        <v>1775</v>
      </c>
      <c r="D22" s="558"/>
      <c r="E22" s="558"/>
      <c r="F22" s="558"/>
      <c r="G22" s="313" t="s">
        <v>306</v>
      </c>
      <c r="H22" s="316" t="s">
        <v>320</v>
      </c>
      <c r="I22" s="316" t="s">
        <v>311</v>
      </c>
      <c r="J22" s="560"/>
      <c r="K22" s="564"/>
      <c r="L22" s="562"/>
      <c r="M22" s="562"/>
      <c r="N22" s="562"/>
      <c r="AJ22" s="93" t="s">
        <v>167</v>
      </c>
      <c r="AK22" s="94"/>
    </row>
    <row r="23" spans="1:37" ht="27" customHeight="1">
      <c r="A23" s="313"/>
      <c r="B23" s="313" t="s">
        <v>305</v>
      </c>
      <c r="C23" s="314" t="s">
        <v>1776</v>
      </c>
      <c r="D23" s="558"/>
      <c r="E23" s="558"/>
      <c r="F23" s="558"/>
      <c r="G23" s="313" t="s">
        <v>306</v>
      </c>
      <c r="H23" s="316" t="s">
        <v>310</v>
      </c>
      <c r="I23" s="316" t="s">
        <v>323</v>
      </c>
      <c r="J23" s="560"/>
      <c r="K23" s="563"/>
      <c r="L23" s="562"/>
      <c r="M23" s="562"/>
      <c r="N23" s="562"/>
      <c r="AJ23" s="93" t="s">
        <v>167</v>
      </c>
      <c r="AK23" s="94"/>
    </row>
    <row r="24" spans="1:37" ht="27" customHeight="1">
      <c r="A24" s="313"/>
      <c r="B24" s="313" t="s">
        <v>305</v>
      </c>
      <c r="C24" s="314" t="s">
        <v>1777</v>
      </c>
      <c r="D24" s="558"/>
      <c r="E24" s="558"/>
      <c r="F24" s="558"/>
      <c r="G24" s="313" t="s">
        <v>306</v>
      </c>
      <c r="H24" s="316" t="s">
        <v>307</v>
      </c>
      <c r="I24" s="316" t="s">
        <v>322</v>
      </c>
      <c r="J24" s="560"/>
      <c r="K24" s="563"/>
      <c r="L24" s="562"/>
      <c r="M24" s="562"/>
      <c r="N24" s="562"/>
      <c r="AJ24" s="93" t="s">
        <v>167</v>
      </c>
      <c r="AK24" s="94"/>
    </row>
    <row r="25" spans="1:37" ht="27" customHeight="1">
      <c r="A25" s="313"/>
      <c r="B25" s="313" t="s">
        <v>305</v>
      </c>
      <c r="C25" s="314" t="s">
        <v>1778</v>
      </c>
      <c r="D25" s="558"/>
      <c r="E25" s="558"/>
      <c r="F25" s="558"/>
      <c r="G25" s="313" t="s">
        <v>306</v>
      </c>
      <c r="H25" s="316" t="s">
        <v>310</v>
      </c>
      <c r="I25" s="316" t="s">
        <v>324</v>
      </c>
      <c r="J25" s="560"/>
      <c r="K25" s="563"/>
      <c r="L25" s="562"/>
      <c r="M25" s="562"/>
      <c r="N25" s="562"/>
      <c r="AJ25" s="93" t="s">
        <v>167</v>
      </c>
      <c r="AK25" s="94"/>
    </row>
    <row r="26" spans="1:37" ht="27" customHeight="1">
      <c r="A26" s="313"/>
      <c r="B26" s="313"/>
      <c r="C26" s="314"/>
      <c r="D26" s="558"/>
      <c r="E26" s="558"/>
      <c r="F26" s="558"/>
      <c r="G26" s="314"/>
      <c r="H26" s="316"/>
      <c r="I26" s="316"/>
      <c r="J26" s="560"/>
      <c r="K26" s="563"/>
      <c r="L26" s="562"/>
      <c r="M26" s="562"/>
      <c r="N26" s="562"/>
      <c r="AK26" s="94"/>
    </row>
    <row r="27" spans="1:37">
      <c r="A27" s="313"/>
      <c r="B27" s="313"/>
      <c r="C27" s="314"/>
      <c r="D27" s="558"/>
      <c r="E27" s="558"/>
      <c r="F27" s="558"/>
      <c r="G27" s="314"/>
      <c r="H27" s="316"/>
      <c r="I27" s="316"/>
      <c r="J27" s="560"/>
      <c r="K27" s="562"/>
      <c r="L27" s="562"/>
      <c r="M27" s="562"/>
      <c r="N27" s="562"/>
    </row>
    <row r="28" spans="1:37">
      <c r="A28" s="313"/>
      <c r="B28" s="313"/>
      <c r="C28" s="314"/>
      <c r="D28" s="558"/>
      <c r="E28" s="558"/>
      <c r="F28" s="558"/>
      <c r="G28" s="314"/>
      <c r="H28" s="316"/>
      <c r="I28" s="316"/>
      <c r="J28" s="560"/>
      <c r="K28" s="562"/>
      <c r="L28" s="562"/>
      <c r="M28" s="562"/>
      <c r="N28" s="562"/>
    </row>
    <row r="29" spans="1:37">
      <c r="A29" s="313"/>
      <c r="B29" s="313"/>
      <c r="C29" s="314"/>
      <c r="D29" s="558"/>
      <c r="E29" s="558"/>
      <c r="F29" s="558"/>
      <c r="G29" s="314"/>
      <c r="H29" s="316"/>
      <c r="I29" s="316"/>
      <c r="J29" s="560"/>
      <c r="K29" s="562"/>
      <c r="L29" s="562"/>
      <c r="M29" s="562"/>
      <c r="N29" s="562"/>
    </row>
    <row r="30" spans="1:37" s="98" customFormat="1" ht="19.149999999999999" customHeight="1">
      <c r="A30" s="605"/>
      <c r="B30" s="606"/>
      <c r="C30" s="606" t="s">
        <v>325</v>
      </c>
      <c r="D30" s="606"/>
      <c r="E30" s="606"/>
      <c r="F30" s="606"/>
      <c r="G30" s="606"/>
      <c r="H30" s="606"/>
      <c r="I30" s="606"/>
      <c r="J30" s="606"/>
      <c r="K30" s="606"/>
      <c r="L30" s="606"/>
      <c r="M30" s="606"/>
      <c r="N30" s="606"/>
      <c r="O30" s="259"/>
      <c r="P30"/>
      <c r="Q30"/>
      <c r="R30"/>
      <c r="S30"/>
      <c r="T30"/>
      <c r="U30"/>
      <c r="V30"/>
      <c r="W30"/>
      <c r="X30"/>
    </row>
    <row r="31" spans="1:37">
      <c r="A31" s="80"/>
      <c r="B31" s="80"/>
      <c r="C31" s="81"/>
      <c r="D31" s="559"/>
      <c r="E31" s="559"/>
      <c r="F31" s="559"/>
      <c r="G31" s="81"/>
      <c r="H31" s="82"/>
      <c r="I31" s="82"/>
      <c r="J31" s="565"/>
      <c r="K31" s="566"/>
      <c r="L31" s="566"/>
      <c r="M31" s="566"/>
      <c r="N31" s="566"/>
    </row>
    <row r="32" spans="1:37">
      <c r="A32" s="603"/>
      <c r="B32" s="604"/>
      <c r="C32" s="604"/>
      <c r="D32" s="604"/>
      <c r="E32" s="604"/>
      <c r="F32" s="604"/>
      <c r="G32" s="604"/>
      <c r="H32" s="603"/>
      <c r="I32" s="603"/>
    </row>
    <row r="33" spans="1:36">
      <c r="A33" s="201"/>
      <c r="B33" s="42"/>
      <c r="C33" s="42"/>
      <c r="D33" s="42"/>
      <c r="E33" s="42"/>
      <c r="F33" s="42"/>
      <c r="G33" s="42"/>
      <c r="H33" s="43"/>
      <c r="I33" s="43"/>
    </row>
    <row r="34" spans="1:36">
      <c r="A34" s="1074"/>
      <c r="B34" s="1075"/>
      <c r="C34" s="1075"/>
      <c r="D34" s="1075"/>
      <c r="E34" s="1075"/>
      <c r="F34" s="1075"/>
      <c r="G34" s="1075"/>
      <c r="H34" s="1075"/>
      <c r="I34" s="1075"/>
    </row>
    <row r="35" spans="1:36">
      <c r="A35" s="45"/>
      <c r="B35" s="45"/>
      <c r="C35" s="45"/>
      <c r="D35" s="45"/>
      <c r="E35" s="45"/>
      <c r="F35" s="45"/>
      <c r="G35" s="45"/>
      <c r="H35" s="46"/>
      <c r="I35" s="44"/>
    </row>
    <row r="36" spans="1:36" s="199" customFormat="1" ht="29.25" customHeight="1">
      <c r="A36" s="202" t="s">
        <v>326</v>
      </c>
      <c r="B36" s="202"/>
      <c r="C36" s="211" t="s">
        <v>327</v>
      </c>
      <c r="D36" s="203"/>
      <c r="E36" s="203"/>
      <c r="F36" s="203"/>
      <c r="G36" s="203"/>
      <c r="H36" s="212" t="s">
        <v>328</v>
      </c>
      <c r="I36" s="197"/>
      <c r="J36" s="198"/>
      <c r="AJ36" s="198"/>
    </row>
    <row r="37" spans="1:36">
      <c r="A37" s="40"/>
      <c r="B37" s="38"/>
      <c r="C37" s="38"/>
      <c r="D37" s="38"/>
      <c r="E37" s="38"/>
      <c r="F37" s="38"/>
      <c r="G37" s="38"/>
      <c r="H37" s="46"/>
      <c r="I37" s="47"/>
    </row>
    <row r="38" spans="1:36">
      <c r="A38" s="40"/>
      <c r="B38" s="38"/>
      <c r="C38" s="38"/>
      <c r="D38" s="38"/>
      <c r="E38" s="38"/>
      <c r="F38" s="38"/>
      <c r="G38" s="38"/>
      <c r="H38" s="46"/>
      <c r="I38" s="44"/>
    </row>
    <row r="39" spans="1:36">
      <c r="A39" s="40"/>
      <c r="B39" s="39"/>
      <c r="C39" s="39"/>
      <c r="D39" s="39"/>
      <c r="E39" s="39"/>
      <c r="F39" s="39"/>
      <c r="G39" s="39"/>
      <c r="H39" s="46"/>
    </row>
    <row r="40" spans="1:36">
      <c r="A40" s="41"/>
      <c r="B40" s="39"/>
      <c r="C40" s="39"/>
      <c r="D40" s="39"/>
      <c r="E40" s="39"/>
      <c r="F40" s="39"/>
      <c r="G40" s="39"/>
      <c r="H40" s="46"/>
    </row>
    <row r="41" spans="1:36">
      <c r="A41" s="41"/>
      <c r="B41" s="39"/>
      <c r="C41" s="39"/>
      <c r="D41" s="39"/>
      <c r="E41" s="39"/>
      <c r="F41" s="39"/>
      <c r="G41" s="39"/>
      <c r="H41" s="46"/>
    </row>
    <row r="42" spans="1:36">
      <c r="A42" s="41"/>
      <c r="B42" s="39"/>
      <c r="C42" s="39"/>
      <c r="D42" s="39"/>
      <c r="E42" s="39"/>
      <c r="F42" s="39"/>
      <c r="G42" s="39"/>
      <c r="H42" s="46"/>
    </row>
    <row r="43" spans="1:36">
      <c r="A43" s="41"/>
      <c r="B43" s="39"/>
      <c r="C43" s="39"/>
      <c r="D43" s="39"/>
      <c r="E43" s="39"/>
      <c r="F43" s="39"/>
      <c r="G43" s="39"/>
      <c r="H43" s="48"/>
    </row>
    <row r="47" spans="1:36">
      <c r="B47" s="196"/>
    </row>
    <row r="54" spans="1:9">
      <c r="A54" s="1072" t="s">
        <v>329</v>
      </c>
      <c r="B54" s="1072"/>
      <c r="C54" s="1072"/>
      <c r="D54" s="1072"/>
      <c r="E54" s="1072"/>
      <c r="F54" s="1072"/>
      <c r="G54" s="1072"/>
      <c r="H54" s="1072"/>
      <c r="I54" s="1072"/>
    </row>
    <row r="55" spans="1:9">
      <c r="A55" s="1072" t="s">
        <v>330</v>
      </c>
      <c r="B55" s="1072"/>
      <c r="C55" s="1072"/>
      <c r="D55" s="1072"/>
      <c r="E55" s="1072"/>
      <c r="F55" s="1072"/>
      <c r="G55" s="1072"/>
      <c r="H55" s="1072"/>
      <c r="I55" s="1072"/>
    </row>
    <row r="56" spans="1:9">
      <c r="A56" s="1072" t="s">
        <v>331</v>
      </c>
      <c r="B56" s="1072"/>
      <c r="C56" s="1072"/>
      <c r="D56" s="1072"/>
      <c r="E56" s="1072"/>
      <c r="F56" s="1072"/>
      <c r="G56" s="1072"/>
      <c r="H56" s="1072"/>
      <c r="I56" s="1072"/>
    </row>
    <row r="57" spans="1:9" ht="56.25" customHeight="1">
      <c r="A57" s="1082" t="s">
        <v>332</v>
      </c>
      <c r="B57" s="1082"/>
      <c r="C57" s="1082"/>
      <c r="D57" s="1082"/>
      <c r="E57" s="1082"/>
      <c r="F57" s="1082"/>
      <c r="G57" s="1082"/>
      <c r="H57" s="1082"/>
      <c r="I57" s="1082"/>
    </row>
    <row r="58" spans="1:9">
      <c r="A58" s="1072" t="s">
        <v>333</v>
      </c>
      <c r="B58" s="1072"/>
      <c r="C58" s="1072"/>
      <c r="D58" s="1072"/>
      <c r="E58" s="1072"/>
      <c r="F58" s="1072"/>
      <c r="G58" s="1072"/>
      <c r="H58" s="1072"/>
      <c r="I58" s="1072"/>
    </row>
    <row r="59" spans="1:9" ht="45" customHeight="1">
      <c r="A59" s="1073" t="s">
        <v>334</v>
      </c>
      <c r="B59" s="1073"/>
      <c r="C59" s="1073"/>
      <c r="D59" s="1073"/>
      <c r="E59" s="1073"/>
      <c r="F59" s="1073"/>
      <c r="G59" s="1073"/>
      <c r="H59" s="1073"/>
      <c r="I59" s="1073"/>
    </row>
    <row r="60" spans="1:9">
      <c r="A60" s="1072" t="s">
        <v>335</v>
      </c>
      <c r="B60" s="1072"/>
      <c r="C60" s="1072"/>
      <c r="D60" s="1072"/>
      <c r="E60" s="1072"/>
      <c r="F60" s="1072"/>
      <c r="G60" s="1072"/>
      <c r="H60" s="1072"/>
      <c r="I60" s="1072"/>
    </row>
  </sheetData>
  <mergeCells count="22">
    <mergeCell ref="K2:O2"/>
    <mergeCell ref="A57:I57"/>
    <mergeCell ref="A56:I56"/>
    <mergeCell ref="A55:I55"/>
    <mergeCell ref="A54:I54"/>
    <mergeCell ref="D4:F4"/>
    <mergeCell ref="G4:I4"/>
    <mergeCell ref="J4:N4"/>
    <mergeCell ref="E5:E6"/>
    <mergeCell ref="F5:F6"/>
    <mergeCell ref="H5:H6"/>
    <mergeCell ref="I5:I6"/>
    <mergeCell ref="K5:K6"/>
    <mergeCell ref="L5:N5"/>
    <mergeCell ref="A58:I58"/>
    <mergeCell ref="A59:I59"/>
    <mergeCell ref="A60:I60"/>
    <mergeCell ref="A34:I34"/>
    <mergeCell ref="A2:I2"/>
    <mergeCell ref="A4:A6"/>
    <mergeCell ref="B4:B6"/>
    <mergeCell ref="C4:C6"/>
  </mergeCells>
  <phoneticPr fontId="3"/>
  <dataValidations count="4">
    <dataValidation type="list" allowBlank="1" showInputMessage="1" prompt="下記リストから該当する記号を選択" sqref="H31 H7:H29">
      <formula1>"A,B,C,D,E,F,G,H,I,J,K,L,M"</formula1>
    </dataValidation>
    <dataValidation type="list" allowBlank="1" showInputMessage="1" prompt="下記リストから該当する年齢区分を選択" sqref="I31 I7:I29">
      <formula1>"ア,イ,ウ,エ,オ,カ,キ,ク,ケ,コ,−,"</formula1>
    </dataValidation>
    <dataValidation type="list" allowBlank="1" showInputMessage="1" showErrorMessage="1" sqref="I32">
      <formula1>"ア,イ,ウ,エ,オ,カ,キ,ク,ケ,コ,−,"</formula1>
    </dataValidation>
    <dataValidation type="list" allowBlank="1" showInputMessage="1" showErrorMessage="1" sqref="H32">
      <formula1>"A,B,C,D,E,F,G,H,I,J,K,L,M"</formula1>
    </dataValidation>
  </dataValidations>
  <pageMargins left="0.31496062992125984" right="0.31496062992125984" top="0.74803149606299213" bottom="0.74803149606299213" header="0.31496062992125984" footer="0.31496062992125984"/>
  <pageSetup paperSize="9" scale="45"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zoomScaleNormal="100" zoomScaleSheetLayoutView="100" workbookViewId="0">
      <selection sqref="A1:C1"/>
    </sheetView>
  </sheetViews>
  <sheetFormatPr defaultColWidth="8.625" defaultRowHeight="18" customHeight="1"/>
  <cols>
    <col min="1" max="2" width="3.37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37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97" customFormat="1" ht="18" customHeight="1">
      <c r="A1" s="1100" t="str">
        <f>"（"&amp;別紙１①!R20&amp;"）"</f>
        <v>（別紙1）</v>
      </c>
      <c r="B1" s="1100"/>
      <c r="C1" s="1100"/>
      <c r="D1" s="100"/>
      <c r="E1" s="100"/>
      <c r="F1" s="100"/>
      <c r="G1" s="100"/>
      <c r="H1" s="100"/>
      <c r="I1" s="100"/>
      <c r="J1" s="100"/>
      <c r="K1" s="100"/>
      <c r="L1" s="100"/>
      <c r="M1" s="100"/>
      <c r="N1" s="100"/>
      <c r="O1" s="100"/>
      <c r="P1" s="100"/>
      <c r="Q1" s="100"/>
      <c r="R1" s="100"/>
      <c r="S1" s="100"/>
      <c r="T1" s="100"/>
      <c r="U1" s="100"/>
      <c r="V1" s="100"/>
      <c r="W1" s="100"/>
      <c r="X1" s="100"/>
    </row>
    <row r="2" spans="1:24" s="97" customFormat="1" ht="18" customHeight="1">
      <c r="A2" s="100"/>
      <c r="B2" s="100"/>
      <c r="C2" s="100"/>
      <c r="D2" s="100"/>
      <c r="E2" s="100"/>
      <c r="F2" s="100"/>
      <c r="G2" s="100"/>
      <c r="H2" s="100"/>
      <c r="I2" s="100"/>
      <c r="J2" s="100"/>
      <c r="K2" s="100"/>
      <c r="L2" s="100"/>
      <c r="M2" s="100"/>
      <c r="N2" s="100"/>
      <c r="O2" s="100"/>
      <c r="P2" s="100"/>
      <c r="Q2" s="100"/>
      <c r="R2" s="100"/>
      <c r="S2" s="100"/>
      <c r="T2" s="100"/>
      <c r="U2" s="100"/>
      <c r="V2" s="100"/>
      <c r="W2" s="100"/>
      <c r="X2" s="100"/>
    </row>
    <row r="3" spans="1:24" s="97" customFormat="1" ht="18" customHeight="1">
      <c r="A3" s="842" t="s">
        <v>336</v>
      </c>
      <c r="B3" s="842"/>
      <c r="C3" s="842"/>
      <c r="D3" s="842"/>
      <c r="E3" s="842"/>
      <c r="F3" s="842"/>
      <c r="G3" s="842"/>
      <c r="H3" s="842"/>
      <c r="I3" s="842"/>
      <c r="J3" s="842"/>
      <c r="K3" s="842"/>
      <c r="L3" s="842"/>
      <c r="M3" s="842"/>
      <c r="N3" s="842"/>
      <c r="O3" s="842"/>
      <c r="P3" s="842"/>
      <c r="Q3" s="842"/>
      <c r="R3" s="842"/>
      <c r="S3" s="842"/>
      <c r="T3" s="842"/>
      <c r="U3" s="842"/>
      <c r="V3" s="842"/>
      <c r="W3" s="842"/>
      <c r="X3" s="842"/>
    </row>
    <row r="4" spans="1:24" s="98" customFormat="1" ht="18" customHeight="1">
      <c r="A4" s="900" t="s">
        <v>337</v>
      </c>
      <c r="B4" s="900"/>
      <c r="C4" s="900"/>
      <c r="D4" s="900"/>
      <c r="E4" s="900"/>
      <c r="F4" s="900"/>
      <c r="G4" s="900"/>
      <c r="H4" s="900"/>
      <c r="I4" s="900"/>
      <c r="J4" s="900"/>
      <c r="K4" s="900"/>
      <c r="L4" s="900"/>
      <c r="M4" s="900"/>
      <c r="N4" s="900"/>
      <c r="O4" s="900"/>
      <c r="P4" s="900"/>
      <c r="Q4" s="900"/>
      <c r="R4" s="900"/>
      <c r="S4" s="900"/>
      <c r="T4" s="900"/>
      <c r="U4" s="900"/>
      <c r="V4" s="900"/>
      <c r="W4" s="900"/>
      <c r="X4" s="900"/>
    </row>
    <row r="5" spans="1:24" s="98" customFormat="1" ht="18" customHeight="1">
      <c r="A5" s="50"/>
      <c r="B5" s="50"/>
      <c r="C5" s="50"/>
      <c r="D5" s="50"/>
      <c r="E5" s="50"/>
      <c r="F5" s="50"/>
      <c r="G5" s="50"/>
      <c r="H5" s="50"/>
      <c r="I5" s="50"/>
      <c r="J5" s="50"/>
      <c r="K5" s="50"/>
      <c r="L5" s="50"/>
      <c r="M5" s="50"/>
      <c r="N5" s="50"/>
      <c r="O5" s="50"/>
      <c r="P5" s="50"/>
      <c r="Q5" s="50"/>
      <c r="R5" s="50"/>
      <c r="S5" s="50"/>
      <c r="T5" s="50"/>
      <c r="U5" s="50"/>
      <c r="V5" s="50"/>
      <c r="W5" s="50"/>
      <c r="X5" s="50"/>
    </row>
    <row r="6" spans="1:24" s="98" customFormat="1" ht="18" customHeight="1">
      <c r="A6" s="50" t="s">
        <v>338</v>
      </c>
      <c r="B6" s="50"/>
      <c r="C6" s="50"/>
      <c r="D6" s="50"/>
      <c r="E6" s="50"/>
      <c r="F6" s="50"/>
      <c r="G6" s="50"/>
      <c r="H6" s="50"/>
      <c r="I6" s="50"/>
      <c r="J6" s="50"/>
      <c r="K6" s="50"/>
      <c r="L6" s="50"/>
      <c r="M6" s="50"/>
      <c r="N6" s="50"/>
      <c r="O6" s="50"/>
      <c r="P6" s="50"/>
      <c r="Q6" s="50"/>
      <c r="R6" s="50"/>
      <c r="S6" s="50"/>
      <c r="T6" s="50"/>
      <c r="U6" s="50"/>
      <c r="V6" s="50"/>
      <c r="W6" s="50"/>
      <c r="X6" s="50"/>
    </row>
    <row r="7" spans="1:24" s="98" customFormat="1" ht="18" customHeight="1">
      <c r="A7" s="50"/>
      <c r="B7" s="50"/>
      <c r="C7" s="50"/>
      <c r="D7" s="50"/>
      <c r="E7" s="50"/>
      <c r="F7" s="50"/>
      <c r="G7" s="50"/>
      <c r="H7" s="50"/>
      <c r="I7" s="50"/>
      <c r="J7" s="50"/>
      <c r="K7" s="50"/>
      <c r="L7" s="50"/>
      <c r="M7" s="50"/>
      <c r="N7" s="50"/>
      <c r="O7" s="50"/>
      <c r="P7" s="50"/>
      <c r="Q7" s="50"/>
      <c r="R7" s="50"/>
      <c r="S7" s="50"/>
      <c r="T7" s="50"/>
      <c r="U7" s="50"/>
      <c r="V7" s="50"/>
      <c r="W7" s="50"/>
      <c r="X7" s="50"/>
    </row>
    <row r="8" spans="1:24" s="98" customFormat="1" ht="18" customHeight="1">
      <c r="A8" s="50" t="s">
        <v>339</v>
      </c>
      <c r="B8" s="50"/>
      <c r="C8" s="50"/>
      <c r="D8" s="50"/>
      <c r="E8" s="50"/>
      <c r="F8" s="50"/>
      <c r="G8" s="50"/>
      <c r="H8" s="50"/>
      <c r="I8" s="50"/>
      <c r="J8" s="50"/>
      <c r="K8" s="50"/>
      <c r="L8" s="50"/>
      <c r="M8" s="50"/>
      <c r="N8" s="50"/>
      <c r="O8" s="50"/>
      <c r="P8" s="50"/>
      <c r="Q8" s="50"/>
      <c r="R8" s="50"/>
      <c r="S8" s="50"/>
      <c r="T8" s="50"/>
      <c r="U8" s="50"/>
      <c r="V8" s="50"/>
      <c r="W8" s="50"/>
      <c r="X8" s="50"/>
    </row>
    <row r="9" spans="1:24" s="98" customFormat="1" ht="6" customHeight="1">
      <c r="A9" s="101"/>
      <c r="B9" s="50"/>
      <c r="C9" s="50"/>
      <c r="D9" s="50"/>
      <c r="E9" s="50"/>
      <c r="F9" s="50"/>
      <c r="G9" s="50"/>
      <c r="H9" s="50"/>
      <c r="I9" s="50"/>
      <c r="J9" s="50"/>
      <c r="K9" s="50"/>
      <c r="L9" s="50"/>
      <c r="M9" s="50"/>
      <c r="N9" s="50"/>
      <c r="O9" s="50"/>
      <c r="P9" s="50"/>
      <c r="Q9" s="50"/>
      <c r="R9" s="50"/>
      <c r="S9" s="50"/>
      <c r="T9" s="50"/>
      <c r="U9" s="50"/>
      <c r="V9" s="50"/>
      <c r="W9" s="50"/>
      <c r="X9" s="50"/>
    </row>
    <row r="10" spans="1:24" s="98" customFormat="1" ht="25.9" customHeight="1">
      <c r="A10" s="1383" t="s">
        <v>340</v>
      </c>
      <c r="B10" s="1383"/>
      <c r="C10" s="1383"/>
      <c r="D10" s="1383"/>
      <c r="E10" s="1383"/>
      <c r="F10" s="1383"/>
      <c r="G10" s="1383"/>
      <c r="H10" s="1383"/>
      <c r="I10" s="1383"/>
      <c r="J10" s="1383"/>
      <c r="K10" s="1384" t="s">
        <v>341</v>
      </c>
      <c r="L10" s="1384"/>
      <c r="M10" s="1384"/>
      <c r="N10" s="1384"/>
      <c r="O10" s="1384"/>
      <c r="P10" s="1384"/>
      <c r="Q10" s="1384"/>
      <c r="R10" s="1384"/>
      <c r="S10" s="1384"/>
      <c r="T10" s="1384"/>
      <c r="U10" s="50"/>
      <c r="V10" s="50"/>
      <c r="W10" s="50"/>
      <c r="X10" s="50"/>
    </row>
    <row r="11" spans="1:24" s="98" customFormat="1" ht="37.15" customHeight="1">
      <c r="A11" s="1385" t="s">
        <v>342</v>
      </c>
      <c r="B11" s="1385"/>
      <c r="C11" s="1385"/>
      <c r="D11" s="1385"/>
      <c r="E11" s="1385"/>
      <c r="F11" s="1385"/>
      <c r="G11" s="1385"/>
      <c r="H11" s="1385"/>
      <c r="I11" s="1385"/>
      <c r="J11" s="1385"/>
      <c r="K11" s="1344" t="s">
        <v>343</v>
      </c>
      <c r="L11" s="1345"/>
      <c r="M11" s="1345"/>
      <c r="N11" s="1345"/>
      <c r="O11" s="1345"/>
      <c r="P11" s="1345"/>
      <c r="Q11" s="1345"/>
      <c r="R11" s="1345"/>
      <c r="S11" s="1345"/>
      <c r="T11" s="1345"/>
      <c r="U11" s="50"/>
      <c r="V11" s="50"/>
      <c r="W11" s="50"/>
      <c r="X11" s="50"/>
    </row>
    <row r="12" spans="1:24" s="98" customFormat="1" ht="37.15" customHeight="1">
      <c r="A12" s="1385" t="s">
        <v>344</v>
      </c>
      <c r="B12" s="1385"/>
      <c r="C12" s="1385"/>
      <c r="D12" s="1385"/>
      <c r="E12" s="1385"/>
      <c r="F12" s="1385"/>
      <c r="G12" s="1385"/>
      <c r="H12" s="1385"/>
      <c r="I12" s="1385"/>
      <c r="J12" s="1385"/>
      <c r="K12" s="1344" t="s">
        <v>343</v>
      </c>
      <c r="L12" s="1345"/>
      <c r="M12" s="1345"/>
      <c r="N12" s="1345"/>
      <c r="O12" s="1345"/>
      <c r="P12" s="1345"/>
      <c r="Q12" s="1345"/>
      <c r="R12" s="1345"/>
      <c r="S12" s="1345"/>
      <c r="T12" s="1345"/>
      <c r="U12" s="50"/>
      <c r="V12" s="50"/>
      <c r="W12" s="50"/>
      <c r="X12" s="50"/>
    </row>
    <row r="13" spans="1:24" s="98" customFormat="1" ht="37.15" customHeight="1">
      <c r="A13" s="1385" t="s">
        <v>345</v>
      </c>
      <c r="B13" s="1385"/>
      <c r="C13" s="1385"/>
      <c r="D13" s="1385"/>
      <c r="E13" s="1385"/>
      <c r="F13" s="1385"/>
      <c r="G13" s="1385"/>
      <c r="H13" s="1385"/>
      <c r="I13" s="1385"/>
      <c r="J13" s="1385"/>
      <c r="K13" s="1344" t="s">
        <v>346</v>
      </c>
      <c r="L13" s="1345"/>
      <c r="M13" s="1345"/>
      <c r="N13" s="1345"/>
      <c r="O13" s="1345"/>
      <c r="P13" s="1345"/>
      <c r="Q13" s="1345"/>
      <c r="R13" s="1345"/>
      <c r="S13" s="1345"/>
      <c r="T13" s="1345"/>
      <c r="U13" s="50"/>
      <c r="V13" s="50"/>
      <c r="W13" s="50"/>
      <c r="X13" s="50"/>
    </row>
    <row r="14" spans="1:24" s="98" customFormat="1" ht="37.15" customHeight="1">
      <c r="A14" s="1385" t="s">
        <v>347</v>
      </c>
      <c r="B14" s="1385"/>
      <c r="C14" s="1385"/>
      <c r="D14" s="1385"/>
      <c r="E14" s="1385"/>
      <c r="F14" s="1385"/>
      <c r="G14" s="1385"/>
      <c r="H14" s="1385"/>
      <c r="I14" s="1385"/>
      <c r="J14" s="1385"/>
      <c r="K14" s="1344" t="s">
        <v>346</v>
      </c>
      <c r="L14" s="1345"/>
      <c r="M14" s="1345"/>
      <c r="N14" s="1345"/>
      <c r="O14" s="1345"/>
      <c r="P14" s="1345"/>
      <c r="Q14" s="1345"/>
      <c r="R14" s="1345"/>
      <c r="S14" s="1345"/>
      <c r="T14" s="1345"/>
      <c r="U14" s="50"/>
      <c r="V14" s="50"/>
      <c r="W14" s="50"/>
      <c r="X14" s="50"/>
    </row>
    <row r="15" spans="1:24" s="98" customFormat="1" ht="37.15" customHeight="1">
      <c r="A15" s="1385" t="s">
        <v>348</v>
      </c>
      <c r="B15" s="1385"/>
      <c r="C15" s="1385"/>
      <c r="D15" s="1385"/>
      <c r="E15" s="1385"/>
      <c r="F15" s="1385"/>
      <c r="G15" s="1385"/>
      <c r="H15" s="1385"/>
      <c r="I15" s="1385"/>
      <c r="J15" s="1385"/>
      <c r="K15" s="1344" t="s">
        <v>349</v>
      </c>
      <c r="L15" s="1345"/>
      <c r="M15" s="1345"/>
      <c r="N15" s="1345"/>
      <c r="O15" s="1345"/>
      <c r="P15" s="1345"/>
      <c r="Q15" s="1345"/>
      <c r="R15" s="1345"/>
      <c r="S15" s="1345"/>
      <c r="T15" s="1345"/>
      <c r="U15" s="50"/>
      <c r="V15" s="50"/>
      <c r="W15" s="50"/>
      <c r="X15" s="50"/>
    </row>
    <row r="16" spans="1:24" s="98" customFormat="1" ht="37.15" customHeight="1">
      <c r="A16" s="1385" t="s">
        <v>350</v>
      </c>
      <c r="B16" s="1385"/>
      <c r="C16" s="1385"/>
      <c r="D16" s="1385"/>
      <c r="E16" s="1385"/>
      <c r="F16" s="1385"/>
      <c r="G16" s="1385"/>
      <c r="H16" s="1385"/>
      <c r="I16" s="1385"/>
      <c r="J16" s="1385"/>
      <c r="K16" s="1344" t="s">
        <v>343</v>
      </c>
      <c r="L16" s="1345"/>
      <c r="M16" s="1345"/>
      <c r="N16" s="1345"/>
      <c r="O16" s="1345"/>
      <c r="P16" s="1345"/>
      <c r="Q16" s="1345"/>
      <c r="R16" s="1345"/>
      <c r="S16" s="1345"/>
      <c r="T16" s="1345"/>
      <c r="U16" s="50"/>
      <c r="V16" s="50"/>
      <c r="W16" s="50"/>
      <c r="X16" s="50"/>
    </row>
    <row r="17" spans="1:27" s="98" customFormat="1" ht="36.6" customHeight="1">
      <c r="A17" s="1388" t="s">
        <v>351</v>
      </c>
      <c r="B17" s="1388"/>
      <c r="C17" s="1388"/>
      <c r="D17" s="1388"/>
      <c r="E17" s="1388"/>
      <c r="F17" s="1388"/>
      <c r="G17" s="1388"/>
      <c r="H17" s="1388"/>
      <c r="I17" s="1388"/>
      <c r="J17" s="1388"/>
      <c r="K17" s="1388"/>
      <c r="L17" s="1388"/>
      <c r="M17" s="1388"/>
      <c r="N17" s="1388"/>
      <c r="O17" s="1388"/>
      <c r="P17" s="1388"/>
      <c r="Q17" s="1388"/>
      <c r="R17" s="1388"/>
      <c r="S17" s="1388"/>
      <c r="T17" s="1388"/>
      <c r="U17" s="50"/>
      <c r="V17" s="50"/>
      <c r="W17" s="50"/>
      <c r="X17" s="50"/>
    </row>
    <row r="18" spans="1:27" s="98" customFormat="1" ht="18" customHeight="1">
      <c r="A18" s="50"/>
      <c r="B18" s="50"/>
      <c r="C18" s="50"/>
      <c r="D18" s="50"/>
      <c r="E18" s="50"/>
      <c r="F18" s="50"/>
      <c r="G18" s="50"/>
      <c r="H18" s="50"/>
      <c r="I18" s="50"/>
      <c r="J18" s="50"/>
      <c r="K18" s="50"/>
      <c r="L18" s="50"/>
      <c r="M18" s="50"/>
      <c r="N18" s="50"/>
      <c r="O18" s="50"/>
      <c r="P18" s="50"/>
      <c r="Q18" s="50"/>
      <c r="R18" s="50"/>
      <c r="S18" s="50"/>
      <c r="T18" s="50"/>
      <c r="U18" s="50"/>
      <c r="V18" s="50"/>
      <c r="W18" s="50"/>
      <c r="X18" s="50"/>
    </row>
    <row r="19" spans="1:27" s="98" customFormat="1" ht="30.6" customHeight="1">
      <c r="A19" s="1382" t="s">
        <v>352</v>
      </c>
      <c r="B19" s="1382"/>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row>
    <row r="20" spans="1:27" s="98" customFormat="1" ht="7.1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7" s="98" customFormat="1" ht="30.6" customHeight="1">
      <c r="A21" s="1414" t="s">
        <v>353</v>
      </c>
      <c r="B21" s="1415"/>
      <c r="C21" s="1415"/>
      <c r="D21" s="1415"/>
      <c r="E21" s="1415"/>
      <c r="F21" s="1416" t="s">
        <v>354</v>
      </c>
      <c r="G21" s="1416"/>
      <c r="H21" s="1417"/>
      <c r="I21" s="1417"/>
      <c r="J21" s="1417"/>
      <c r="K21" s="1370" t="s">
        <v>355</v>
      </c>
      <c r="L21" s="1420"/>
      <c r="M21" s="1371"/>
      <c r="N21" s="1421"/>
      <c r="O21" s="1370" t="s">
        <v>356</v>
      </c>
      <c r="P21" s="1371"/>
      <c r="Q21" s="1371"/>
      <c r="R21" s="1371"/>
      <c r="S21" s="1371"/>
      <c r="T21" s="1371"/>
      <c r="U21" s="1371"/>
      <c r="V21" s="1371"/>
      <c r="W21" s="1372"/>
      <c r="X21" s="1373"/>
    </row>
    <row r="22" spans="1:27" s="98" customFormat="1" ht="30.6" customHeight="1">
      <c r="A22" s="1346" t="s">
        <v>357</v>
      </c>
      <c r="B22" s="1347"/>
      <c r="C22" s="1347"/>
      <c r="D22" s="1347"/>
      <c r="E22" s="1347"/>
      <c r="F22" s="1346" t="s">
        <v>358</v>
      </c>
      <c r="G22" s="1346"/>
      <c r="H22" s="1347"/>
      <c r="I22" s="1347"/>
      <c r="J22" s="1347"/>
      <c r="K22" s="1378" t="s">
        <v>359</v>
      </c>
      <c r="L22" s="1379"/>
      <c r="M22" s="1380"/>
      <c r="N22" s="1381"/>
      <c r="O22" s="1374" t="s">
        <v>360</v>
      </c>
      <c r="P22" s="1375"/>
      <c r="Q22" s="1375"/>
      <c r="R22" s="1375"/>
      <c r="S22" s="1375"/>
      <c r="T22" s="1375"/>
      <c r="U22" s="1375"/>
      <c r="V22" s="1375"/>
      <c r="W22" s="1376"/>
      <c r="X22" s="1377"/>
    </row>
    <row r="23" spans="1:27" s="98" customFormat="1" ht="30.6" customHeight="1">
      <c r="A23" s="1346" t="s">
        <v>357</v>
      </c>
      <c r="B23" s="1347"/>
      <c r="C23" s="1347"/>
      <c r="D23" s="1347"/>
      <c r="E23" s="1347"/>
      <c r="F23" s="1346" t="s">
        <v>311</v>
      </c>
      <c r="G23" s="1346"/>
      <c r="H23" s="1347"/>
      <c r="I23" s="1347"/>
      <c r="J23" s="1347"/>
      <c r="K23" s="1378" t="s">
        <v>129</v>
      </c>
      <c r="L23" s="1379"/>
      <c r="M23" s="1380"/>
      <c r="N23" s="1381"/>
      <c r="O23" s="1374" t="s">
        <v>361</v>
      </c>
      <c r="P23" s="1375"/>
      <c r="Q23" s="1375"/>
      <c r="R23" s="1375"/>
      <c r="S23" s="1375"/>
      <c r="T23" s="1375"/>
      <c r="U23" s="1375"/>
      <c r="V23" s="1375"/>
      <c r="W23" s="1376"/>
      <c r="X23" s="1377"/>
    </row>
    <row r="24" spans="1:27" s="98" customFormat="1" ht="30.6" customHeight="1">
      <c r="A24" s="1346" t="s">
        <v>357</v>
      </c>
      <c r="B24" s="1347"/>
      <c r="C24" s="1347"/>
      <c r="D24" s="1347"/>
      <c r="E24" s="1347"/>
      <c r="F24" s="1346" t="s">
        <v>313</v>
      </c>
      <c r="G24" s="1346"/>
      <c r="H24" s="1347"/>
      <c r="I24" s="1347"/>
      <c r="J24" s="1347"/>
      <c r="K24" s="1378" t="s">
        <v>129</v>
      </c>
      <c r="L24" s="1379"/>
      <c r="M24" s="1380"/>
      <c r="N24" s="1381"/>
      <c r="O24" s="1374" t="s">
        <v>361</v>
      </c>
      <c r="P24" s="1375"/>
      <c r="Q24" s="1375"/>
      <c r="R24" s="1375"/>
      <c r="S24" s="1375"/>
      <c r="T24" s="1375"/>
      <c r="U24" s="1375"/>
      <c r="V24" s="1375"/>
      <c r="W24" s="1376"/>
      <c r="X24" s="1377"/>
    </row>
    <row r="25" spans="1:27" s="98" customFormat="1" ht="30.6" customHeight="1">
      <c r="A25" s="1346" t="s">
        <v>357</v>
      </c>
      <c r="B25" s="1347"/>
      <c r="C25" s="1347"/>
      <c r="D25" s="1347"/>
      <c r="E25" s="1347"/>
      <c r="F25" s="1346" t="s">
        <v>311</v>
      </c>
      <c r="G25" s="1346"/>
      <c r="H25" s="1347"/>
      <c r="I25" s="1347"/>
      <c r="J25" s="1347"/>
      <c r="K25" s="1378" t="s">
        <v>129</v>
      </c>
      <c r="L25" s="1379"/>
      <c r="M25" s="1380"/>
      <c r="N25" s="1381"/>
      <c r="O25" s="1374" t="s">
        <v>361</v>
      </c>
      <c r="P25" s="1375"/>
      <c r="Q25" s="1375"/>
      <c r="R25" s="1375"/>
      <c r="S25" s="1375"/>
      <c r="T25" s="1375"/>
      <c r="U25" s="1375"/>
      <c r="V25" s="1375"/>
      <c r="W25" s="1376"/>
      <c r="X25" s="1377"/>
    </row>
    <row r="26" spans="1:27" s="98" customFormat="1" ht="30.6" customHeight="1">
      <c r="A26" s="1346"/>
      <c r="B26" s="1347"/>
      <c r="C26" s="1347"/>
      <c r="D26" s="1347"/>
      <c r="E26" s="1347"/>
      <c r="F26" s="1346"/>
      <c r="G26" s="1346"/>
      <c r="H26" s="1347"/>
      <c r="I26" s="1347"/>
      <c r="J26" s="1347"/>
      <c r="K26" s="1378"/>
      <c r="L26" s="1379"/>
      <c r="M26" s="1380"/>
      <c r="N26" s="1381"/>
      <c r="O26" s="1374"/>
      <c r="P26" s="1375"/>
      <c r="Q26" s="1375"/>
      <c r="R26" s="1375"/>
      <c r="S26" s="1375"/>
      <c r="T26" s="1375"/>
      <c r="U26" s="1375"/>
      <c r="V26" s="1375"/>
      <c r="W26" s="1376"/>
      <c r="X26" s="1377"/>
    </row>
    <row r="27" spans="1:27" s="98" customFormat="1" ht="19.149999999999999" customHeight="1">
      <c r="A27" s="1098"/>
      <c r="B27" s="1099"/>
      <c r="C27" s="1099"/>
      <c r="D27" s="1099"/>
      <c r="E27" s="1099"/>
      <c r="F27" s="1096" t="s">
        <v>325</v>
      </c>
      <c r="G27" s="1096"/>
      <c r="H27" s="1096"/>
      <c r="I27" s="1096"/>
      <c r="J27" s="1096"/>
      <c r="K27" s="1096"/>
      <c r="L27" s="1096"/>
      <c r="M27" s="1096"/>
      <c r="N27" s="1096"/>
      <c r="O27" s="1096"/>
      <c r="P27" s="1096"/>
      <c r="Q27" s="1096"/>
      <c r="R27" s="1096"/>
      <c r="S27" s="1096"/>
      <c r="T27" s="1096"/>
      <c r="U27" s="1096"/>
      <c r="V27" s="1096"/>
      <c r="W27" s="1096"/>
      <c r="X27" s="1097"/>
    </row>
    <row r="28" spans="1:27" s="99" customFormat="1" ht="30.6" customHeight="1">
      <c r="A28" s="103"/>
      <c r="B28" s="104"/>
      <c r="C28" s="104"/>
      <c r="D28" s="104"/>
      <c r="E28" s="104"/>
      <c r="F28" s="103"/>
      <c r="G28" s="103"/>
      <c r="H28" s="104"/>
      <c r="I28" s="104"/>
      <c r="J28" s="104"/>
      <c r="K28" s="103"/>
      <c r="L28" s="103"/>
      <c r="M28" s="104"/>
      <c r="N28" s="104"/>
      <c r="O28" s="105"/>
      <c r="P28" s="105"/>
      <c r="Q28" s="105"/>
      <c r="R28" s="105"/>
      <c r="S28" s="105"/>
      <c r="T28" s="105"/>
      <c r="U28" s="105"/>
      <c r="V28" s="105"/>
      <c r="W28" s="106"/>
      <c r="X28" s="106"/>
    </row>
    <row r="29" spans="1:27" s="98" customFormat="1" ht="30.6" customHeight="1">
      <c r="A29" s="102"/>
      <c r="B29" s="107"/>
      <c r="C29" s="107"/>
      <c r="D29" s="107"/>
      <c r="E29" s="107"/>
      <c r="F29" s="102"/>
      <c r="G29" s="102"/>
      <c r="H29" s="107"/>
      <c r="I29" s="107"/>
      <c r="J29" s="107"/>
      <c r="K29" s="102"/>
      <c r="L29" s="102"/>
      <c r="M29" s="107"/>
      <c r="N29" s="107"/>
      <c r="O29" s="107"/>
      <c r="P29" s="107"/>
      <c r="Q29" s="107"/>
      <c r="R29" s="102"/>
      <c r="S29" s="107"/>
      <c r="T29" s="107"/>
      <c r="U29" s="107"/>
      <c r="V29" s="107"/>
      <c r="W29" s="107"/>
      <c r="X29" s="107"/>
    </row>
    <row r="30" spans="1:27" s="98" customFormat="1" ht="21.6" customHeight="1">
      <c r="A30" s="102"/>
      <c r="B30" s="107"/>
      <c r="C30" s="107"/>
      <c r="D30" s="107"/>
      <c r="E30" s="107"/>
      <c r="F30" s="102"/>
      <c r="G30" s="102"/>
      <c r="H30" s="107"/>
      <c r="I30" s="107"/>
      <c r="J30" s="107"/>
      <c r="K30" s="102"/>
      <c r="L30" s="102"/>
      <c r="M30" s="107"/>
      <c r="N30" s="107"/>
      <c r="O30" s="107"/>
      <c r="P30" s="107"/>
      <c r="Q30" s="107"/>
      <c r="R30" s="102"/>
      <c r="S30" s="107"/>
      <c r="T30" s="107"/>
      <c r="U30" s="107"/>
      <c r="V30" s="107"/>
      <c r="W30" s="107"/>
      <c r="X30" s="107"/>
      <c r="AA30" s="96"/>
    </row>
    <row r="31" spans="1:27" s="98" customFormat="1" ht="30.6" customHeight="1">
      <c r="A31" s="101" t="s">
        <v>362</v>
      </c>
      <c r="B31" s="50"/>
      <c r="C31" s="50"/>
      <c r="D31" s="50"/>
      <c r="E31" s="50"/>
      <c r="F31" s="50"/>
      <c r="G31" s="50"/>
      <c r="H31" s="50"/>
      <c r="I31" s="50"/>
      <c r="J31" s="50"/>
      <c r="K31" s="50"/>
      <c r="L31" s="50"/>
      <c r="M31" s="50"/>
      <c r="N31" s="50"/>
      <c r="O31" s="50"/>
      <c r="P31" s="50"/>
      <c r="Q31" s="50"/>
      <c r="R31" s="50"/>
      <c r="S31" s="50"/>
      <c r="T31" s="50"/>
      <c r="U31" s="102"/>
      <c r="V31" s="102"/>
      <c r="W31" s="102"/>
      <c r="X31" s="102"/>
    </row>
    <row r="32" spans="1:27" s="98" customFormat="1" ht="30.6" customHeight="1">
      <c r="A32" s="1403" t="s">
        <v>363</v>
      </c>
      <c r="B32" s="1404"/>
      <c r="C32" s="1404"/>
      <c r="D32" s="1404"/>
      <c r="E32" s="1404"/>
      <c r="F32" s="1404"/>
      <c r="G32" s="108"/>
      <c r="H32" s="1405" t="s">
        <v>364</v>
      </c>
      <c r="I32" s="1405"/>
      <c r="J32" s="1405"/>
      <c r="K32" s="1405"/>
      <c r="L32" s="1405"/>
      <c r="M32" s="1405"/>
      <c r="N32" s="1406" t="s">
        <v>365</v>
      </c>
      <c r="O32" s="1404"/>
      <c r="P32" s="1404"/>
      <c r="Q32" s="1404"/>
      <c r="R32" s="1404"/>
      <c r="S32" s="1404"/>
      <c r="T32" s="1407"/>
      <c r="U32" s="102"/>
      <c r="V32" s="102"/>
      <c r="W32" s="102"/>
      <c r="X32" s="102"/>
    </row>
    <row r="33" spans="1:24" s="98" customFormat="1" ht="30.6" customHeight="1">
      <c r="A33" s="1408">
        <f>COUNTA(A22:E27)</f>
        <v>4</v>
      </c>
      <c r="B33" s="1409"/>
      <c r="C33" s="1409"/>
      <c r="D33" s="1409"/>
      <c r="E33" s="1409"/>
      <c r="F33" s="1409"/>
      <c r="G33" s="317"/>
      <c r="H33" s="1410">
        <f>COUNTA(別紙１③!B7:B30)</f>
        <v>19</v>
      </c>
      <c r="I33" s="1410"/>
      <c r="J33" s="1410"/>
      <c r="K33" s="1410"/>
      <c r="L33" s="1410"/>
      <c r="M33" s="1410"/>
      <c r="N33" s="1411">
        <f>A33/H33</f>
        <v>0.21052631578947367</v>
      </c>
      <c r="O33" s="1412"/>
      <c r="P33" s="1412"/>
      <c r="Q33" s="1412"/>
      <c r="R33" s="1412"/>
      <c r="S33" s="1412"/>
      <c r="T33" s="1413"/>
      <c r="U33" s="102"/>
      <c r="V33" s="102"/>
      <c r="W33" s="102"/>
      <c r="X33" s="102"/>
    </row>
    <row r="34" spans="1:24" s="99" customFormat="1" ht="25.15" customHeight="1">
      <c r="A34" s="1418" t="s">
        <v>366</v>
      </c>
      <c r="B34" s="1419"/>
      <c r="C34" s="1419"/>
      <c r="D34" s="1419"/>
      <c r="E34" s="1419"/>
      <c r="F34" s="1419"/>
      <c r="G34" s="1419"/>
      <c r="H34" s="1419"/>
      <c r="I34" s="1419"/>
      <c r="J34" s="1419"/>
      <c r="K34" s="1419"/>
      <c r="L34" s="1419"/>
      <c r="M34" s="1419"/>
      <c r="N34" s="1419"/>
      <c r="O34" s="1419"/>
      <c r="P34" s="1419"/>
      <c r="Q34" s="1419"/>
      <c r="R34" s="1419"/>
      <c r="S34" s="1419"/>
      <c r="T34" s="1419"/>
      <c r="U34" s="1419"/>
      <c r="V34" s="1419"/>
      <c r="W34" s="1419"/>
      <c r="X34" s="1419"/>
    </row>
    <row r="35" spans="1:24" s="98" customFormat="1" ht="18" customHeight="1">
      <c r="A35" s="101"/>
      <c r="B35" s="50"/>
      <c r="C35" s="50"/>
      <c r="D35" s="50"/>
      <c r="E35" s="50"/>
      <c r="F35" s="50"/>
      <c r="G35" s="50"/>
      <c r="H35" s="50"/>
      <c r="I35" s="50"/>
      <c r="J35" s="50"/>
      <c r="K35" s="50"/>
      <c r="L35" s="50"/>
      <c r="M35" s="50"/>
      <c r="N35" s="50"/>
      <c r="O35" s="50"/>
      <c r="P35" s="50"/>
      <c r="Q35" s="50"/>
      <c r="R35" s="50"/>
      <c r="S35" s="50"/>
      <c r="T35" s="50"/>
      <c r="U35" s="50"/>
      <c r="V35" s="50"/>
      <c r="W35" s="50"/>
      <c r="X35" s="50"/>
    </row>
    <row r="36" spans="1:24" s="98" customFormat="1" ht="18" customHeight="1">
      <c r="A36" s="101" t="s">
        <v>367</v>
      </c>
      <c r="B36" s="50"/>
      <c r="C36" s="50"/>
      <c r="D36" s="50"/>
      <c r="E36" s="50"/>
      <c r="F36" s="50"/>
      <c r="G36" s="50"/>
      <c r="H36" s="50"/>
      <c r="I36" s="50"/>
      <c r="J36" s="50"/>
      <c r="K36" s="50"/>
      <c r="L36" s="50"/>
      <c r="M36" s="50"/>
      <c r="N36" s="50"/>
      <c r="O36" s="50"/>
      <c r="P36" s="50"/>
      <c r="Q36" s="50"/>
      <c r="R36" s="50"/>
      <c r="S36" s="50"/>
      <c r="T36" s="50"/>
      <c r="U36" s="50"/>
      <c r="V36" s="50"/>
      <c r="W36" s="50"/>
      <c r="X36" s="50"/>
    </row>
    <row r="37" spans="1:24" s="98" customFormat="1" ht="10.15" customHeight="1">
      <c r="A37" s="101"/>
      <c r="B37" s="50"/>
      <c r="C37" s="50"/>
      <c r="D37" s="50"/>
      <c r="E37" s="50"/>
      <c r="F37" s="50"/>
      <c r="G37" s="50"/>
      <c r="H37" s="50"/>
      <c r="I37" s="50"/>
      <c r="J37" s="50"/>
      <c r="K37" s="50"/>
      <c r="L37" s="50"/>
      <c r="M37" s="50"/>
      <c r="N37" s="50"/>
      <c r="O37" s="50"/>
      <c r="P37" s="50"/>
      <c r="Q37" s="50"/>
      <c r="R37" s="50"/>
      <c r="S37" s="50"/>
      <c r="T37" s="50"/>
      <c r="U37" s="50"/>
      <c r="V37" s="50"/>
      <c r="W37" s="50"/>
      <c r="X37" s="50"/>
    </row>
    <row r="38" spans="1:24" s="98" customFormat="1" ht="18" customHeight="1">
      <c r="A38" s="101" t="s">
        <v>368</v>
      </c>
      <c r="B38" s="50"/>
      <c r="C38" s="50"/>
      <c r="D38" s="50"/>
      <c r="E38" s="50"/>
      <c r="F38" s="50"/>
      <c r="G38" s="50"/>
      <c r="H38" s="50"/>
      <c r="I38" s="50"/>
      <c r="J38" s="50"/>
      <c r="K38" s="50"/>
      <c r="L38" s="50"/>
      <c r="M38" s="50"/>
      <c r="N38" s="50"/>
      <c r="O38" s="50"/>
      <c r="P38" s="50"/>
      <c r="Q38" s="50"/>
      <c r="R38" s="50"/>
      <c r="S38" s="50"/>
      <c r="T38" s="50"/>
      <c r="U38" s="50"/>
      <c r="V38" s="50"/>
      <c r="W38" s="50"/>
      <c r="X38" s="50"/>
    </row>
    <row r="39" spans="1:24" s="98" customFormat="1" ht="18" customHeight="1">
      <c r="A39" s="1367" t="s">
        <v>369</v>
      </c>
      <c r="B39" s="1367"/>
      <c r="C39" s="1368" t="s">
        <v>370</v>
      </c>
      <c r="D39" s="1368"/>
      <c r="E39" s="1368"/>
      <c r="F39" s="1368"/>
      <c r="G39" s="1368"/>
      <c r="H39" s="1368"/>
      <c r="I39" s="1368"/>
      <c r="J39" s="1368"/>
      <c r="K39" s="1368"/>
      <c r="L39" s="1368"/>
      <c r="M39" s="1368"/>
      <c r="N39" s="1368"/>
      <c r="O39" s="1368"/>
      <c r="P39" s="1368"/>
      <c r="Q39" s="1368"/>
      <c r="R39" s="1368"/>
      <c r="S39" s="1368"/>
      <c r="T39" s="1368"/>
      <c r="U39" s="50"/>
      <c r="V39" s="50"/>
      <c r="W39" s="50"/>
      <c r="X39" s="50"/>
    </row>
    <row r="40" spans="1:24" s="98" customFormat="1" ht="18" customHeight="1">
      <c r="A40" s="1369" t="s">
        <v>371</v>
      </c>
      <c r="B40" s="1369"/>
      <c r="C40" s="1369"/>
      <c r="D40" s="1369"/>
      <c r="E40" s="1369"/>
      <c r="F40" s="1369"/>
      <c r="G40" s="1369"/>
      <c r="H40" s="1369"/>
      <c r="I40" s="1369"/>
      <c r="J40" s="1369"/>
      <c r="K40" s="1369"/>
      <c r="L40" s="1369"/>
      <c r="M40" s="1369"/>
      <c r="N40" s="1369"/>
      <c r="O40" s="1369"/>
      <c r="P40" s="1369"/>
      <c r="Q40" s="1369"/>
      <c r="R40" s="1369"/>
      <c r="S40" s="1369"/>
      <c r="T40" s="1369"/>
      <c r="U40" s="50"/>
      <c r="V40" s="50"/>
      <c r="W40" s="50"/>
      <c r="X40" s="50"/>
    </row>
    <row r="41" spans="1:24" s="98" customFormat="1" ht="18" customHeight="1">
      <c r="A41" s="1117" t="s">
        <v>139</v>
      </c>
      <c r="B41" s="1117"/>
      <c r="C41" s="1330" t="s">
        <v>372</v>
      </c>
      <c r="D41" s="1330"/>
      <c r="E41" s="1330"/>
      <c r="F41" s="1330"/>
      <c r="G41" s="1330"/>
      <c r="H41" s="1330"/>
      <c r="I41" s="1330"/>
      <c r="J41" s="1330"/>
      <c r="K41" s="1330"/>
      <c r="L41" s="1330"/>
      <c r="M41" s="1330"/>
      <c r="N41" s="1330"/>
      <c r="O41" s="1330"/>
      <c r="P41" s="1330"/>
      <c r="Q41" s="1330"/>
      <c r="R41" s="1330"/>
      <c r="S41" s="1330"/>
      <c r="T41" s="1330"/>
      <c r="U41" s="50"/>
      <c r="V41" s="50"/>
      <c r="W41" s="50"/>
      <c r="X41" s="50"/>
    </row>
    <row r="42" spans="1:24" s="98" customFormat="1" ht="18" customHeight="1">
      <c r="A42" s="1117"/>
      <c r="B42" s="1117"/>
      <c r="C42" s="1330" t="s">
        <v>373</v>
      </c>
      <c r="D42" s="1330"/>
      <c r="E42" s="1330"/>
      <c r="F42" s="1330"/>
      <c r="G42" s="1330"/>
      <c r="H42" s="1330"/>
      <c r="I42" s="1330"/>
      <c r="J42" s="1330"/>
      <c r="K42" s="1330"/>
      <c r="L42" s="1330"/>
      <c r="M42" s="1330"/>
      <c r="N42" s="1330"/>
      <c r="O42" s="1330"/>
      <c r="P42" s="1330"/>
      <c r="Q42" s="1330"/>
      <c r="R42" s="1330"/>
      <c r="S42" s="1330"/>
      <c r="T42" s="1330"/>
      <c r="U42" s="50"/>
      <c r="V42" s="50"/>
      <c r="W42" s="50"/>
      <c r="X42" s="50"/>
    </row>
    <row r="43" spans="1:24" s="98" customFormat="1" ht="18" customHeight="1">
      <c r="A43" s="1117" t="s">
        <v>134</v>
      </c>
      <c r="B43" s="1117"/>
      <c r="C43" s="1330" t="s">
        <v>374</v>
      </c>
      <c r="D43" s="1330"/>
      <c r="E43" s="1330"/>
      <c r="F43" s="1330"/>
      <c r="G43" s="1330"/>
      <c r="H43" s="1330"/>
      <c r="I43" s="1330"/>
      <c r="J43" s="1330"/>
      <c r="K43" s="1330"/>
      <c r="L43" s="1330"/>
      <c r="M43" s="1330"/>
      <c r="N43" s="1330"/>
      <c r="O43" s="1330"/>
      <c r="P43" s="1330"/>
      <c r="Q43" s="1330"/>
      <c r="R43" s="1330"/>
      <c r="S43" s="1330"/>
      <c r="T43" s="1330"/>
      <c r="U43" s="50"/>
      <c r="V43" s="50"/>
      <c r="W43" s="50"/>
      <c r="X43" s="50"/>
    </row>
    <row r="44" spans="1:24" s="98" customFormat="1" ht="18" customHeight="1">
      <c r="A44" s="1117"/>
      <c r="B44" s="1117"/>
      <c r="C44" s="1365" t="s">
        <v>375</v>
      </c>
      <c r="D44" s="1366"/>
      <c r="E44" s="1366"/>
      <c r="F44" s="1366"/>
      <c r="G44" s="1366"/>
      <c r="H44" s="1366"/>
      <c r="I44" s="1366"/>
      <c r="J44" s="1366"/>
      <c r="K44" s="1366"/>
      <c r="L44" s="1366"/>
      <c r="M44" s="1366"/>
      <c r="N44" s="1366"/>
      <c r="O44" s="1366"/>
      <c r="P44" s="1366"/>
      <c r="Q44" s="1366"/>
      <c r="R44" s="1366"/>
      <c r="S44" s="1366"/>
      <c r="T44" s="1366"/>
      <c r="U44" s="50"/>
      <c r="V44" s="50"/>
      <c r="W44" s="50"/>
      <c r="X44" s="50"/>
    </row>
    <row r="45" spans="1:24" s="98" customFormat="1" ht="18" customHeight="1">
      <c r="A45" s="101"/>
      <c r="B45" s="50"/>
      <c r="C45" s="50"/>
      <c r="D45" s="50"/>
      <c r="E45" s="50"/>
      <c r="F45" s="50"/>
      <c r="G45" s="50"/>
      <c r="H45" s="50"/>
      <c r="I45" s="50"/>
      <c r="J45" s="50"/>
      <c r="K45" s="50"/>
      <c r="L45" s="50"/>
      <c r="M45" s="50"/>
      <c r="N45" s="50"/>
      <c r="O45" s="50"/>
      <c r="P45" s="50"/>
      <c r="Q45" s="50"/>
      <c r="R45" s="50"/>
      <c r="S45" s="50"/>
      <c r="T45" s="50"/>
      <c r="U45" s="50"/>
      <c r="V45" s="50"/>
      <c r="W45" s="50"/>
      <c r="X45" s="50"/>
    </row>
    <row r="46" spans="1:24" s="98" customFormat="1" ht="18" customHeight="1">
      <c r="A46" s="1367" t="s">
        <v>369</v>
      </c>
      <c r="B46" s="1367"/>
      <c r="C46" s="1368" t="s">
        <v>370</v>
      </c>
      <c r="D46" s="1368"/>
      <c r="E46" s="1368"/>
      <c r="F46" s="1368"/>
      <c r="G46" s="1368"/>
      <c r="H46" s="1368"/>
      <c r="I46" s="1368"/>
      <c r="J46" s="1368"/>
      <c r="K46" s="1368"/>
      <c r="L46" s="1368"/>
      <c r="M46" s="1368"/>
      <c r="N46" s="1368"/>
      <c r="O46" s="1368"/>
      <c r="P46" s="1368"/>
      <c r="Q46" s="1368"/>
      <c r="R46" s="1368"/>
      <c r="S46" s="1368"/>
      <c r="T46" s="1368"/>
      <c r="U46" s="50"/>
      <c r="V46" s="50"/>
      <c r="W46" s="50"/>
      <c r="X46" s="50"/>
    </row>
    <row r="47" spans="1:24" s="98" customFormat="1" ht="18" customHeight="1">
      <c r="A47" s="1369" t="s">
        <v>376</v>
      </c>
      <c r="B47" s="1369"/>
      <c r="C47" s="1369"/>
      <c r="D47" s="1369"/>
      <c r="E47" s="1369"/>
      <c r="F47" s="1369"/>
      <c r="G47" s="1369"/>
      <c r="H47" s="1369"/>
      <c r="I47" s="1369"/>
      <c r="J47" s="1369"/>
      <c r="K47" s="1369"/>
      <c r="L47" s="1369"/>
      <c r="M47" s="1369"/>
      <c r="N47" s="1369"/>
      <c r="O47" s="1369"/>
      <c r="P47" s="1369"/>
      <c r="Q47" s="1369"/>
      <c r="R47" s="1369"/>
      <c r="S47" s="1369"/>
      <c r="T47" s="1369"/>
      <c r="U47" s="50"/>
      <c r="V47" s="50"/>
      <c r="W47" s="50"/>
      <c r="X47" s="50"/>
    </row>
    <row r="48" spans="1:24" s="98" customFormat="1" ht="18" customHeight="1">
      <c r="A48" s="1117"/>
      <c r="B48" s="1117"/>
      <c r="C48" s="1330" t="s">
        <v>377</v>
      </c>
      <c r="D48" s="1330"/>
      <c r="E48" s="1330"/>
      <c r="F48" s="1330"/>
      <c r="G48" s="1330"/>
      <c r="H48" s="1330"/>
      <c r="I48" s="1330"/>
      <c r="J48" s="1330"/>
      <c r="K48" s="1330"/>
      <c r="L48" s="1330"/>
      <c r="M48" s="1330"/>
      <c r="N48" s="1330"/>
      <c r="O48" s="1330"/>
      <c r="P48" s="1330"/>
      <c r="Q48" s="1330"/>
      <c r="R48" s="1330"/>
      <c r="S48" s="1330"/>
      <c r="T48" s="1330"/>
      <c r="U48" s="50"/>
      <c r="V48" s="50"/>
      <c r="W48" s="50"/>
      <c r="X48" s="50"/>
    </row>
    <row r="49" spans="1:25" s="98" customFormat="1" ht="18" customHeight="1">
      <c r="A49" s="1117" t="s">
        <v>134</v>
      </c>
      <c r="B49" s="1117"/>
      <c r="C49" s="1330" t="s">
        <v>378</v>
      </c>
      <c r="D49" s="1330"/>
      <c r="E49" s="1330"/>
      <c r="F49" s="1330"/>
      <c r="G49" s="1330"/>
      <c r="H49" s="1330"/>
      <c r="I49" s="1330"/>
      <c r="J49" s="1330"/>
      <c r="K49" s="1330"/>
      <c r="L49" s="1330"/>
      <c r="M49" s="1330"/>
      <c r="N49" s="1330"/>
      <c r="O49" s="1330"/>
      <c r="P49" s="1330"/>
      <c r="Q49" s="1330"/>
      <c r="R49" s="1330"/>
      <c r="S49" s="1330"/>
      <c r="T49" s="1330"/>
      <c r="U49" s="50"/>
      <c r="V49" s="50"/>
      <c r="W49" s="50"/>
      <c r="X49" s="50"/>
    </row>
    <row r="50" spans="1:25" s="98" customFormat="1" ht="38.25" customHeight="1">
      <c r="A50" s="1117" t="s">
        <v>139</v>
      </c>
      <c r="B50" s="1117"/>
      <c r="C50" s="1365" t="s">
        <v>379</v>
      </c>
      <c r="D50" s="1366"/>
      <c r="E50" s="1366"/>
      <c r="F50" s="1366"/>
      <c r="G50" s="1366"/>
      <c r="H50" s="1366"/>
      <c r="I50" s="1366"/>
      <c r="J50" s="1366"/>
      <c r="K50" s="1366"/>
      <c r="L50" s="1366"/>
      <c r="M50" s="1366"/>
      <c r="N50" s="1366"/>
      <c r="O50" s="1366"/>
      <c r="P50" s="1366"/>
      <c r="Q50" s="1366"/>
      <c r="R50" s="1366"/>
      <c r="S50" s="1366"/>
      <c r="T50" s="1366"/>
      <c r="U50" s="50"/>
      <c r="V50" s="50"/>
      <c r="W50" s="50"/>
      <c r="X50" s="50"/>
    </row>
    <row r="51" spans="1:25" s="98" customFormat="1" ht="58.5" customHeight="1">
      <c r="A51" s="101"/>
      <c r="B51" s="50"/>
      <c r="C51" s="50"/>
      <c r="D51" s="50"/>
      <c r="E51" s="50"/>
      <c r="F51" s="50"/>
      <c r="G51" s="50"/>
      <c r="H51" s="50"/>
      <c r="I51" s="50"/>
      <c r="J51" s="50"/>
      <c r="K51" s="50"/>
      <c r="L51" s="50"/>
      <c r="M51" s="50"/>
      <c r="N51" s="50"/>
      <c r="O51" s="50"/>
      <c r="P51" s="50"/>
      <c r="Q51" s="50"/>
      <c r="R51" s="50"/>
      <c r="S51" s="50"/>
      <c r="T51" s="50"/>
      <c r="U51" s="50"/>
      <c r="V51" s="50"/>
      <c r="W51" s="50"/>
      <c r="X51" s="50"/>
    </row>
    <row r="52" spans="1:25" s="49" customFormat="1" ht="18" customHeight="1">
      <c r="A52" s="101" t="s">
        <v>380</v>
      </c>
      <c r="B52" s="50"/>
      <c r="C52" s="50"/>
      <c r="D52" s="50"/>
      <c r="E52" s="50"/>
      <c r="F52" s="50"/>
      <c r="G52" s="50"/>
      <c r="H52" s="50"/>
      <c r="I52" s="50"/>
      <c r="J52" s="50"/>
      <c r="K52" s="50"/>
      <c r="L52" s="50"/>
      <c r="M52" s="50"/>
      <c r="N52" s="50"/>
      <c r="O52" s="50"/>
      <c r="P52" s="50"/>
      <c r="Q52" s="50"/>
      <c r="R52" s="50"/>
      <c r="S52" s="50"/>
      <c r="T52" s="50"/>
      <c r="U52" s="50"/>
      <c r="V52" s="50"/>
      <c r="W52" s="50"/>
      <c r="X52" s="50"/>
    </row>
    <row r="53" spans="1:25" s="49" customFormat="1" ht="18" customHeight="1">
      <c r="A53" s="101" t="s">
        <v>381</v>
      </c>
      <c r="B53" s="50"/>
      <c r="C53" s="50"/>
      <c r="D53" s="50"/>
      <c r="E53" s="50"/>
      <c r="F53" s="50"/>
      <c r="G53" s="50"/>
      <c r="H53" s="50"/>
      <c r="I53" s="50"/>
      <c r="J53" s="50"/>
      <c r="K53" s="50"/>
      <c r="L53" s="50"/>
      <c r="M53" s="50"/>
      <c r="N53" s="50"/>
      <c r="O53" s="50"/>
      <c r="P53" s="50"/>
      <c r="Q53" s="50"/>
      <c r="R53" s="50"/>
      <c r="S53" s="50"/>
      <c r="T53" s="50" t="s">
        <v>382</v>
      </c>
      <c r="U53" s="50"/>
      <c r="V53" s="50"/>
      <c r="W53" s="50"/>
      <c r="X53" s="50"/>
    </row>
    <row r="54" spans="1:25" s="49" customFormat="1" ht="18" customHeight="1">
      <c r="A54" s="1348" t="s">
        <v>383</v>
      </c>
      <c r="B54" s="1348"/>
      <c r="C54" s="1350" t="s">
        <v>384</v>
      </c>
      <c r="D54" s="1351"/>
      <c r="E54" s="192" t="s">
        <v>385</v>
      </c>
      <c r="F54" s="193"/>
      <c r="G54" s="193"/>
      <c r="H54" s="193"/>
      <c r="I54" s="193"/>
      <c r="J54" s="192" t="s">
        <v>262</v>
      </c>
      <c r="K54" s="193"/>
      <c r="L54" s="193"/>
      <c r="M54" s="193"/>
      <c r="N54" s="193"/>
      <c r="O54" s="192" t="s">
        <v>386</v>
      </c>
      <c r="P54" s="193"/>
      <c r="Q54" s="193"/>
      <c r="R54" s="193"/>
      <c r="S54" s="193"/>
      <c r="T54" s="192" t="s">
        <v>387</v>
      </c>
      <c r="U54" s="193"/>
      <c r="V54" s="193"/>
      <c r="W54" s="193"/>
      <c r="X54" s="194"/>
    </row>
    <row r="55" spans="1:25" s="49" customFormat="1" ht="39.950000000000003" customHeight="1" thickBot="1">
      <c r="A55" s="1349"/>
      <c r="B55" s="1349"/>
      <c r="C55" s="1352"/>
      <c r="D55" s="1353"/>
      <c r="E55" s="109" t="s">
        <v>388</v>
      </c>
      <c r="F55" s="191" t="s">
        <v>389</v>
      </c>
      <c r="G55" s="110" t="s">
        <v>390</v>
      </c>
      <c r="H55" s="191" t="s">
        <v>391</v>
      </c>
      <c r="I55" s="195" t="s">
        <v>392</v>
      </c>
      <c r="J55" s="109" t="s">
        <v>393</v>
      </c>
      <c r="K55" s="191" t="s">
        <v>389</v>
      </c>
      <c r="L55" s="110" t="s">
        <v>390</v>
      </c>
      <c r="M55" s="191" t="s">
        <v>391</v>
      </c>
      <c r="N55" s="195" t="s">
        <v>392</v>
      </c>
      <c r="O55" s="109" t="s">
        <v>393</v>
      </c>
      <c r="P55" s="191" t="s">
        <v>389</v>
      </c>
      <c r="Q55" s="110" t="s">
        <v>390</v>
      </c>
      <c r="R55" s="191" t="s">
        <v>391</v>
      </c>
      <c r="S55" s="195" t="s">
        <v>392</v>
      </c>
      <c r="T55" s="109" t="s">
        <v>393</v>
      </c>
      <c r="U55" s="191" t="s">
        <v>389</v>
      </c>
      <c r="V55" s="111" t="s">
        <v>390</v>
      </c>
      <c r="W55" s="191" t="s">
        <v>391</v>
      </c>
      <c r="X55" s="191" t="s">
        <v>392</v>
      </c>
    </row>
    <row r="56" spans="1:25" s="49" customFormat="1" ht="28.9" customHeight="1">
      <c r="A56" s="1355" t="s">
        <v>394</v>
      </c>
      <c r="B56" s="1356"/>
      <c r="C56" s="1357"/>
      <c r="D56" s="1358"/>
      <c r="E56" s="318">
        <f>ROUNDDOWN(SUMIFS(別紙２①!$F$18:$F$64,別紙２①!$V$18:$V$64,別紙１④!G56),0)</f>
        <v>24248</v>
      </c>
      <c r="F56" s="337" t="s">
        <v>133</v>
      </c>
      <c r="G56" s="337" t="str">
        <f>別紙２①!$T$14&amp;別紙１④!$E$54&amp;別紙１④!$F56</f>
        <v>田急傾斜</v>
      </c>
      <c r="H56" s="319">
        <f>VLOOKUP($G56,プルダウンリスト!$D$15:$E$70,2,FALSE)</f>
        <v>16800</v>
      </c>
      <c r="I56" s="320">
        <f t="shared" ref="I56:I61" si="0">ROUNDDOWN(E56*H56/1000,0)</f>
        <v>407366</v>
      </c>
      <c r="J56" s="318">
        <f>ROUNDDOWN(SUMIFS(別紙２①!$F$18:$F$64,別紙２①!$V$18:$V$64,別紙１④!L56),0)</f>
        <v>0</v>
      </c>
      <c r="K56" s="337" t="s">
        <v>133</v>
      </c>
      <c r="L56" s="337" t="str">
        <f>別紙２①!$T$14&amp;$J$54&amp;K56</f>
        <v>畑急傾斜</v>
      </c>
      <c r="M56" s="319">
        <f>VLOOKUP(L56,プルダウンリスト!$D$15:$E$70,2,FALSE)</f>
        <v>9200</v>
      </c>
      <c r="N56" s="320">
        <f t="shared" ref="N56:N61" si="1">ROUNDDOWN(J56*M56/1000,0)</f>
        <v>0</v>
      </c>
      <c r="O56" s="318">
        <f>ROUNDDOWN(SUMIFS(別紙２①!$F$18:$F$64,別紙２①!$V$18:$V$64,別紙１④!Q56),0)</f>
        <v>0</v>
      </c>
      <c r="P56" s="337" t="s">
        <v>133</v>
      </c>
      <c r="Q56" s="337" t="str">
        <f>別紙２①!$T$14&amp;$O$54&amp;P56</f>
        <v>草地急傾斜</v>
      </c>
      <c r="R56" s="319">
        <f>VLOOKUP(Q56,プルダウンリスト!$D$15:$E$70,2,FALSE)</f>
        <v>8400</v>
      </c>
      <c r="S56" s="320">
        <f>ROUNDDOWN(O56*R56/1000,0)</f>
        <v>0</v>
      </c>
      <c r="T56" s="318">
        <f>ROUNDDOWN(SUMIFS(別紙２①!$F$18:$F$64,別紙２①!$V$18:$V$64,別紙１④!V56),0)</f>
        <v>0</v>
      </c>
      <c r="U56" s="337" t="s">
        <v>133</v>
      </c>
      <c r="V56" s="337" t="str">
        <f>別紙２①!$T$14&amp;$T$54&amp;U56</f>
        <v>採草放牧地急傾斜</v>
      </c>
      <c r="W56" s="319">
        <f>VLOOKUP(V56,プルダウンリスト!$D$15:$E$70,2,FALSE)</f>
        <v>800</v>
      </c>
      <c r="X56" s="321">
        <f>ROUNDDOWN(T56*W56/1000,0)</f>
        <v>0</v>
      </c>
    </row>
    <row r="57" spans="1:25" s="49" customFormat="1" ht="28.9" customHeight="1">
      <c r="A57" s="1355"/>
      <c r="B57" s="1356"/>
      <c r="C57" s="1359"/>
      <c r="D57" s="1360"/>
      <c r="E57" s="318">
        <f>ROUNDDOWN(SUMIFS(別紙２①!$F$18:$F$64,別紙２①!$V$18:$V$64,別紙１④!G57),0)</f>
        <v>17714</v>
      </c>
      <c r="F57" s="338" t="s">
        <v>156</v>
      </c>
      <c r="G57" s="338" t="str">
        <f>別紙２①!$T$14&amp;別紙１④!$E$54&amp;別紙１④!$F57</f>
        <v>田緩傾斜</v>
      </c>
      <c r="H57" s="322">
        <f>VLOOKUP($G57,プルダウンリスト!$D$15:$E$70,2,FALSE)</f>
        <v>6400</v>
      </c>
      <c r="I57" s="323">
        <f t="shared" si="0"/>
        <v>113369</v>
      </c>
      <c r="J57" s="318">
        <f>ROUNDDOWN(SUMIFS(別紙２①!$F$18:$F$64,別紙２①!$V$18:$V$64,別紙１④!L57),0)</f>
        <v>0</v>
      </c>
      <c r="K57" s="338" t="s">
        <v>156</v>
      </c>
      <c r="L57" s="338" t="str">
        <f>別紙２①!$T$14&amp;$J$54&amp;K57</f>
        <v>畑緩傾斜</v>
      </c>
      <c r="M57" s="322">
        <f>VLOOKUP(L57,プルダウンリスト!$D$15:$E$70,2,FALSE)</f>
        <v>2800</v>
      </c>
      <c r="N57" s="323">
        <f t="shared" si="1"/>
        <v>0</v>
      </c>
      <c r="O57" s="318">
        <f>ROUNDDOWN(SUMIFS(別紙２①!$F$18:$F$64,別紙２①!$V$18:$V$64,別紙１④!Q57),0)</f>
        <v>0</v>
      </c>
      <c r="P57" s="338" t="s">
        <v>156</v>
      </c>
      <c r="Q57" s="338" t="str">
        <f>別紙２①!$T$14&amp;$O$54&amp;P57</f>
        <v>草地緩傾斜</v>
      </c>
      <c r="R57" s="322">
        <f>VLOOKUP(Q57,プルダウンリスト!$D$15:$E$70,2,FALSE)</f>
        <v>2400</v>
      </c>
      <c r="S57" s="320">
        <f t="shared" ref="S57:S62" si="2">ROUNDDOWN(O57*R57/1000,0)</f>
        <v>0</v>
      </c>
      <c r="T57" s="318">
        <f>ROUNDDOWN(SUMIFS(別紙２①!$F$18:$F$64,別紙２①!$V$18:$V$64,別紙１④!V57),0)</f>
        <v>0</v>
      </c>
      <c r="U57" s="338" t="s">
        <v>156</v>
      </c>
      <c r="V57" s="338" t="str">
        <f>別紙２①!$T$14&amp;$T$54&amp;U57</f>
        <v>採草放牧地緩傾斜</v>
      </c>
      <c r="W57" s="322">
        <f>VLOOKUP(V57,プルダウンリスト!$D$15:$E$70,2,FALSE)</f>
        <v>240</v>
      </c>
      <c r="X57" s="321">
        <f>ROUNDDOWN(T57*W57/1000,0)</f>
        <v>0</v>
      </c>
    </row>
    <row r="58" spans="1:25" s="49" customFormat="1" ht="28.9" customHeight="1">
      <c r="A58" s="1355"/>
      <c r="B58" s="1356"/>
      <c r="C58" s="1359"/>
      <c r="D58" s="1360"/>
      <c r="E58" s="318">
        <f>ROUNDDOWN(SUMIFS(別紙２①!$F$18:$F$64,別紙２①!$V$18:$V$64,別紙１④!G58),0)</f>
        <v>0</v>
      </c>
      <c r="F58" s="338" t="s">
        <v>149</v>
      </c>
      <c r="G58" s="338" t="str">
        <f>別紙２①!$T$14&amp;別紙１④!$E$54&amp;別紙１④!$F58</f>
        <v>田小区画・不整形</v>
      </c>
      <c r="H58" s="322">
        <f>VLOOKUP($G58,プルダウンリスト!$D$15:$E$70,2,FALSE)</f>
        <v>6400</v>
      </c>
      <c r="I58" s="323">
        <f t="shared" si="0"/>
        <v>0</v>
      </c>
      <c r="J58" s="318">
        <f>ROUNDDOWN(SUMIFS(別紙２①!$F$18:$F$64,別紙２①!$V$18:$V$64,別紙１④!L58),0)</f>
        <v>0</v>
      </c>
      <c r="K58" s="338" t="s">
        <v>150</v>
      </c>
      <c r="L58" s="338" t="str">
        <f>別紙２①!$T$14&amp;$J$54&amp;K58</f>
        <v>畑高齢化・耕作放棄率</v>
      </c>
      <c r="M58" s="322">
        <f>VLOOKUP(L58,プルダウンリスト!$D$15:$E$70,2,FALSE)</f>
        <v>2800</v>
      </c>
      <c r="N58" s="323">
        <f t="shared" si="1"/>
        <v>0</v>
      </c>
      <c r="O58" s="318">
        <f>ROUNDDOWN(SUMIFS(別紙２①!$F$18:$F$64,別紙２①!$V$18:$V$64,別紙１④!Q58),0)</f>
        <v>0</v>
      </c>
      <c r="P58" s="338" t="s">
        <v>150</v>
      </c>
      <c r="Q58" s="338" t="str">
        <f>別紙２①!$T$14&amp;$O$54&amp;P58</f>
        <v>草地高齢化・耕作放棄率</v>
      </c>
      <c r="R58" s="322">
        <f>VLOOKUP(Q58,プルダウンリスト!$D$15:$E$70,2,FALSE)</f>
        <v>2400</v>
      </c>
      <c r="S58" s="320">
        <f t="shared" si="2"/>
        <v>0</v>
      </c>
      <c r="T58" s="318">
        <f>ROUNDDOWN(SUMIFS(別紙２①!$F$18:$F$64,別紙２①!$V$18:$V$64,別紙１④!V58),0)</f>
        <v>0</v>
      </c>
      <c r="U58" s="338" t="s">
        <v>151</v>
      </c>
      <c r="V58" s="338" t="str">
        <f>別紙２①!$T$14&amp;$T$54&amp;U58</f>
        <v>採草放牧地特認基準</v>
      </c>
      <c r="W58" s="322">
        <f>VLOOKUP(V58,プルダウンリスト!$D$15:$E$70,2,FALSE)</f>
        <v>240</v>
      </c>
      <c r="X58" s="321">
        <f>ROUNDDOWN(T58*W58/1000,0)</f>
        <v>0</v>
      </c>
    </row>
    <row r="59" spans="1:25" s="49" customFormat="1" ht="36" customHeight="1">
      <c r="A59" s="1355"/>
      <c r="B59" s="1356"/>
      <c r="C59" s="1359"/>
      <c r="D59" s="1360"/>
      <c r="E59" s="318">
        <f>ROUNDDOWN(SUMIFS(別紙２①!$F$18:$F$64,別紙２①!$V$18:$V$64,別紙１④!G59),0)</f>
        <v>0</v>
      </c>
      <c r="F59" s="338" t="s">
        <v>150</v>
      </c>
      <c r="G59" s="338" t="str">
        <f>別紙２①!$T$14&amp;別紙１④!$E$54&amp;別紙１④!$F59</f>
        <v>田高齢化・耕作放棄率</v>
      </c>
      <c r="H59" s="322">
        <f>VLOOKUP($G59,プルダウンリスト!$D$15:$E$70,2,FALSE)</f>
        <v>6400</v>
      </c>
      <c r="I59" s="323">
        <f t="shared" si="0"/>
        <v>0</v>
      </c>
      <c r="J59" s="318">
        <f>ROUNDDOWN(SUMIFS(別紙２①!$F$18:$F$64,別紙２①!$V$18:$V$64,別紙１④!L59),0)</f>
        <v>0</v>
      </c>
      <c r="K59" s="338" t="s">
        <v>151</v>
      </c>
      <c r="L59" s="338" t="str">
        <f>別紙２①!$T$14&amp;$J$54&amp;K59</f>
        <v>畑特認基準</v>
      </c>
      <c r="M59" s="322">
        <f>VLOOKUP(L59,プルダウンリスト!$D$15:$E$70,2,FALSE)</f>
        <v>2800</v>
      </c>
      <c r="N59" s="323">
        <f t="shared" si="1"/>
        <v>0</v>
      </c>
      <c r="O59" s="318">
        <f>ROUNDDOWN(SUMIFS(別紙２①!$F$18:$F$64,別紙２①!$V$18:$V$64,別紙１④!Q59),0)</f>
        <v>0</v>
      </c>
      <c r="P59" s="338" t="s">
        <v>160</v>
      </c>
      <c r="Q59" s="338" t="str">
        <f>別紙２①!$T$14&amp;$O$54&amp;P59</f>
        <v>草地草地比率の高い草地</v>
      </c>
      <c r="R59" s="322">
        <f>VLOOKUP(Q59,プルダウンリスト!$D$15:$E$70,2,FALSE)</f>
        <v>1200</v>
      </c>
      <c r="S59" s="320">
        <f t="shared" si="2"/>
        <v>0</v>
      </c>
      <c r="T59" s="318">
        <f>ROUNDDOWN(SUMIFS(別紙２①!$F$18:$F$64,別紙２①!$V$18:$V$64,別紙１④!V59),0)</f>
        <v>0</v>
      </c>
      <c r="U59" s="339" t="s">
        <v>164</v>
      </c>
      <c r="V59" s="338" t="str">
        <f>別紙２①!$T$14&amp;$T$54&amp;U59</f>
        <v>採草放牧地交付対象外（田採草放牧地混在地）</v>
      </c>
      <c r="W59" s="322">
        <f>VLOOKUP(V59,プルダウンリスト!$D$15:$E$70,2,FALSE)</f>
        <v>0</v>
      </c>
      <c r="X59" s="321">
        <f>ROUNDDOWN(T59*W59/1000,0)</f>
        <v>0</v>
      </c>
    </row>
    <row r="60" spans="1:25" s="49" customFormat="1" ht="36" customHeight="1">
      <c r="A60" s="1355"/>
      <c r="B60" s="1356"/>
      <c r="C60" s="1359"/>
      <c r="D60" s="1360"/>
      <c r="E60" s="318">
        <f>ROUNDDOWN(SUMIFS(別紙２①!$F$18:$F$64,別紙２①!$V$18:$V$64,別紙１④!G60),0)</f>
        <v>0</v>
      </c>
      <c r="F60" s="338" t="s">
        <v>151</v>
      </c>
      <c r="G60" s="338" t="str">
        <f>別紙２①!$T$14&amp;別紙１④!$E$54&amp;別紙１④!$F60</f>
        <v>田特認基準</v>
      </c>
      <c r="H60" s="322">
        <f>VLOOKUP($G60,プルダウンリスト!$D$15:$E$70,2,FALSE)</f>
        <v>6400</v>
      </c>
      <c r="I60" s="323">
        <f t="shared" si="0"/>
        <v>0</v>
      </c>
      <c r="J60" s="318">
        <f>ROUNDDOWN(SUMIFS(別紙２①!$F$18:$F$64,別紙２①!$V$18:$V$64,別紙１④!L60),0)</f>
        <v>0</v>
      </c>
      <c r="K60" s="339" t="s">
        <v>155</v>
      </c>
      <c r="L60" s="338" t="str">
        <f>別紙２①!$T$14&amp;$J$54&amp;K60</f>
        <v>畑交付対象外（田畑混在地）</v>
      </c>
      <c r="M60" s="322">
        <f>VLOOKUP(L60,プルダウンリスト!$D$15:$E$70,2,FALSE)</f>
        <v>0</v>
      </c>
      <c r="N60" s="323">
        <f t="shared" si="1"/>
        <v>0</v>
      </c>
      <c r="O60" s="318">
        <f>ROUNDDOWN(SUMIFS(別紙２①!$F$18:$F$64,別紙２①!$V$18:$V$64,別紙１④!Q60),0)</f>
        <v>0</v>
      </c>
      <c r="P60" s="338" t="s">
        <v>151</v>
      </c>
      <c r="Q60" s="338" t="str">
        <f>別紙２①!$T$14&amp;$O$54&amp;P60</f>
        <v>草地特認基準</v>
      </c>
      <c r="R60" s="322">
        <f>VLOOKUP(Q60,プルダウンリスト!$D$15:$E$70,2,FALSE)</f>
        <v>2400</v>
      </c>
      <c r="S60" s="320">
        <f t="shared" si="2"/>
        <v>0</v>
      </c>
      <c r="T60" s="318">
        <f>ROUNDDOWN(SUMIFS(別紙２①!$F$18:$F$64,別紙２①!$V$18:$V$64,別紙１④!V60),0)</f>
        <v>0</v>
      </c>
      <c r="U60" s="339" t="s">
        <v>165</v>
      </c>
      <c r="V60" s="338" t="str">
        <f>別紙２①!$T$14&amp;$T$54&amp;U60</f>
        <v>採草放牧地交付対象外（田採草放牧地混在地以外）</v>
      </c>
      <c r="W60" s="322">
        <f>VLOOKUP(V60,プルダウンリスト!$D$15:$E$70,2,FALSE)</f>
        <v>0</v>
      </c>
      <c r="X60" s="321">
        <f>ROUNDDOWN(T60*W60/1000,0)</f>
        <v>0</v>
      </c>
    </row>
    <row r="61" spans="1:25" s="49" customFormat="1" ht="28.9" customHeight="1">
      <c r="A61" s="1355"/>
      <c r="B61" s="1356"/>
      <c r="C61" s="1359"/>
      <c r="D61" s="1360"/>
      <c r="E61" s="318">
        <f>ROUNDDOWN(SUMIFS(別紙２①!$F$18:$F$64,別紙２①!$V$18:$V$64,別紙１④!G61),0)</f>
        <v>0</v>
      </c>
      <c r="F61" s="338" t="s">
        <v>152</v>
      </c>
      <c r="G61" s="338" t="str">
        <f>別紙２①!$T$14&amp;別紙１④!$E$54&amp;別紙１④!$F61</f>
        <v>田交付対象外</v>
      </c>
      <c r="H61" s="322">
        <f>VLOOKUP($G61,プルダウンリスト!$D$15:$E$70,2,FALSE)</f>
        <v>0</v>
      </c>
      <c r="I61" s="323">
        <f t="shared" si="0"/>
        <v>0</v>
      </c>
      <c r="J61" s="318">
        <f>ROUNDDOWN(SUMIFS(別紙２①!$F$18:$F$64,別紙２①!$V$18:$V$64,別紙１④!L61),0)</f>
        <v>0</v>
      </c>
      <c r="K61" s="339" t="s">
        <v>154</v>
      </c>
      <c r="L61" s="338" t="str">
        <f>別紙２①!$T$14&amp;$J$54&amp;K61</f>
        <v>畑交付対象外（田畑混在地以外）</v>
      </c>
      <c r="M61" s="322">
        <f>VLOOKUP(L61,プルダウンリスト!$D$15:$E$70,2,FALSE)</f>
        <v>0</v>
      </c>
      <c r="N61" s="323">
        <f t="shared" si="1"/>
        <v>0</v>
      </c>
      <c r="O61" s="318">
        <f>ROUNDDOWN(SUMIFS(別紙２①!$F$18:$F$64,別紙２①!$V$18:$V$64,別紙１④!Q61),0)</f>
        <v>0</v>
      </c>
      <c r="P61" s="339" t="s">
        <v>162</v>
      </c>
      <c r="Q61" s="338" t="str">
        <f>別紙２①!$T$14&amp;$O$54&amp;P61</f>
        <v>草地交付対象外（田草地混在地）</v>
      </c>
      <c r="R61" s="322">
        <f>VLOOKUP(Q61,プルダウンリスト!$D$15:$E$70,2,FALSE)</f>
        <v>0</v>
      </c>
      <c r="S61" s="320">
        <f t="shared" si="2"/>
        <v>0</v>
      </c>
      <c r="T61" s="318"/>
      <c r="U61" s="339"/>
      <c r="V61" s="338"/>
      <c r="W61" s="322"/>
      <c r="X61" s="321"/>
    </row>
    <row r="62" spans="1:25" s="49" customFormat="1" ht="28.9" customHeight="1" thickBot="1">
      <c r="A62" s="1355"/>
      <c r="B62" s="1356"/>
      <c r="C62" s="1359"/>
      <c r="D62" s="1360"/>
      <c r="E62" s="324"/>
      <c r="F62" s="339"/>
      <c r="G62" s="338"/>
      <c r="H62" s="322"/>
      <c r="I62" s="323"/>
      <c r="J62" s="324"/>
      <c r="K62" s="339"/>
      <c r="L62" s="338"/>
      <c r="M62" s="322"/>
      <c r="N62" s="323"/>
      <c r="O62" s="318">
        <f>ROUNDDOWN(SUMIFS(別紙２①!$F$18:$F$64,別紙２①!$V$18:$V$64,別紙１④!Q62),0)</f>
        <v>0</v>
      </c>
      <c r="P62" s="339" t="s">
        <v>161</v>
      </c>
      <c r="Q62" s="338" t="str">
        <f>別紙２①!$T$14&amp;$O$54&amp;P62</f>
        <v>草地交付対象外（田草地混在地以外）</v>
      </c>
      <c r="R62" s="322">
        <f>VLOOKUP(Q62,プルダウンリスト!$D$15:$E$70,2,FALSE)</f>
        <v>0</v>
      </c>
      <c r="S62" s="320">
        <f t="shared" si="2"/>
        <v>0</v>
      </c>
      <c r="T62" s="325"/>
      <c r="U62" s="341"/>
      <c r="V62" s="341"/>
      <c r="W62" s="326"/>
      <c r="X62" s="327"/>
    </row>
    <row r="63" spans="1:25" s="79" customFormat="1" ht="18" customHeight="1">
      <c r="A63" s="1361" t="s">
        <v>395</v>
      </c>
      <c r="B63" s="1362"/>
      <c r="C63" s="1363">
        <f>E63+J63+O63+T63</f>
        <v>41962</v>
      </c>
      <c r="D63" s="1364"/>
      <c r="E63" s="328">
        <f>SUM(E56:E62)</f>
        <v>41962</v>
      </c>
      <c r="F63" s="340"/>
      <c r="G63" s="340"/>
      <c r="H63" s="329"/>
      <c r="I63" s="330">
        <f>SUM(I56:I62)</f>
        <v>520735</v>
      </c>
      <c r="J63" s="328">
        <f>SUM(J56:J62)</f>
        <v>0</v>
      </c>
      <c r="K63" s="340"/>
      <c r="L63" s="340"/>
      <c r="M63" s="329"/>
      <c r="N63" s="330">
        <f>SUM(N56:N62)</f>
        <v>0</v>
      </c>
      <c r="O63" s="328">
        <f>SUM(O56:O62)</f>
        <v>0</v>
      </c>
      <c r="P63" s="340"/>
      <c r="Q63" s="340"/>
      <c r="R63" s="329"/>
      <c r="S63" s="330">
        <f>SUM(S56:S62)</f>
        <v>0</v>
      </c>
      <c r="T63" s="328">
        <f>SUM(T56:T62)</f>
        <v>0</v>
      </c>
      <c r="U63" s="340"/>
      <c r="V63" s="342"/>
      <c r="W63" s="329"/>
      <c r="X63" s="331">
        <f>SUM(X56:X62)</f>
        <v>0</v>
      </c>
      <c r="Y63" s="78"/>
    </row>
    <row r="64" spans="1:25" s="49" customFormat="1" ht="18" customHeight="1">
      <c r="A64" s="101"/>
      <c r="B64" s="50"/>
      <c r="C64" s="50"/>
      <c r="D64" s="50"/>
      <c r="E64" s="50"/>
      <c r="F64" s="50"/>
      <c r="G64" s="50"/>
      <c r="H64" s="50"/>
      <c r="I64" s="50"/>
      <c r="J64" s="50"/>
      <c r="K64" s="50"/>
      <c r="L64" s="50"/>
      <c r="M64" s="50"/>
      <c r="N64" s="50"/>
      <c r="O64" s="50"/>
      <c r="P64" s="50"/>
      <c r="Q64" s="50"/>
      <c r="R64" s="50"/>
      <c r="S64" s="50"/>
      <c r="T64" s="50"/>
      <c r="U64" s="50"/>
      <c r="V64" s="50"/>
      <c r="W64" s="50"/>
      <c r="X64" s="112"/>
    </row>
    <row r="65" spans="1:25" s="49" customFormat="1" ht="18" customHeight="1">
      <c r="A65" s="101" t="s">
        <v>396</v>
      </c>
      <c r="B65" s="50"/>
      <c r="C65" s="50"/>
      <c r="D65" s="50"/>
      <c r="E65" s="50"/>
      <c r="F65" s="50"/>
      <c r="G65" s="50"/>
      <c r="H65" s="50"/>
      <c r="I65" s="50"/>
      <c r="J65" s="50"/>
      <c r="K65" s="50"/>
      <c r="L65" s="50"/>
      <c r="M65" s="50"/>
      <c r="N65" s="50"/>
      <c r="O65" s="50"/>
      <c r="P65" s="50"/>
      <c r="Q65" s="50"/>
      <c r="R65" s="50"/>
      <c r="S65" s="50"/>
      <c r="T65" s="50"/>
      <c r="U65" s="50"/>
      <c r="V65" s="50"/>
      <c r="W65" s="50"/>
      <c r="X65" s="50"/>
    </row>
    <row r="66" spans="1:25" s="49" customFormat="1" ht="7.15" customHeight="1">
      <c r="A66" s="101"/>
      <c r="B66" s="50"/>
      <c r="C66" s="50"/>
      <c r="D66" s="50"/>
      <c r="E66" s="50"/>
      <c r="F66" s="50"/>
      <c r="G66" s="50"/>
      <c r="H66" s="50"/>
      <c r="I66" s="50"/>
      <c r="J66" s="50"/>
      <c r="K66" s="50"/>
      <c r="L66" s="50"/>
      <c r="M66" s="50"/>
      <c r="N66" s="50"/>
      <c r="O66" s="50"/>
      <c r="P66" s="50"/>
      <c r="Q66" s="50"/>
      <c r="R66" s="50"/>
      <c r="S66" s="50"/>
      <c r="T66" s="50"/>
      <c r="U66" s="50"/>
      <c r="V66" s="50"/>
      <c r="W66" s="50"/>
      <c r="X66" s="50"/>
    </row>
    <row r="67" spans="1:25" s="49" customFormat="1" ht="18" customHeight="1">
      <c r="A67" s="101" t="s">
        <v>397</v>
      </c>
      <c r="B67" s="50"/>
      <c r="C67" s="50"/>
      <c r="D67" s="50"/>
      <c r="E67" s="50"/>
      <c r="F67" s="50"/>
      <c r="G67" s="50"/>
      <c r="H67" s="50"/>
      <c r="I67" s="50"/>
      <c r="J67" s="50"/>
      <c r="K67" s="50"/>
      <c r="L67" s="50"/>
      <c r="M67" s="50"/>
      <c r="N67" s="50"/>
      <c r="O67" s="50"/>
      <c r="P67" s="50"/>
      <c r="Q67" s="50"/>
      <c r="R67" s="50"/>
      <c r="S67" s="50"/>
      <c r="T67" s="50"/>
      <c r="U67" s="50"/>
      <c r="V67" s="50"/>
      <c r="W67" s="50"/>
      <c r="X67" s="50"/>
    </row>
    <row r="68" spans="1:25" s="49" customFormat="1" ht="18" customHeight="1">
      <c r="A68" s="50"/>
      <c r="B68" s="1123" t="s">
        <v>97</v>
      </c>
      <c r="C68" s="1124"/>
      <c r="D68" s="1124"/>
      <c r="E68" s="1124"/>
      <c r="F68" s="1124"/>
      <c r="G68" s="1124"/>
      <c r="H68" s="1124"/>
      <c r="I68" s="1124"/>
      <c r="J68" s="1124"/>
      <c r="K68" s="1124"/>
      <c r="L68" s="1124"/>
      <c r="M68" s="1124"/>
      <c r="N68" s="1124"/>
      <c r="O68" s="1124"/>
      <c r="P68" s="1124"/>
      <c r="Q68" s="1124"/>
      <c r="R68" s="1124"/>
      <c r="S68" s="1124"/>
      <c r="T68" s="1124"/>
      <c r="U68" s="1124"/>
      <c r="V68" s="1124"/>
      <c r="W68" s="1125"/>
      <c r="X68" s="50"/>
      <c r="Y68" s="50"/>
    </row>
    <row r="69" spans="1:25" s="49" customFormat="1" ht="18" customHeight="1">
      <c r="A69" s="50"/>
      <c r="B69" s="1123" t="s">
        <v>398</v>
      </c>
      <c r="C69" s="1139"/>
      <c r="D69" s="1139"/>
      <c r="E69" s="1139"/>
      <c r="F69" s="1139"/>
      <c r="G69" s="1139"/>
      <c r="H69" s="1139"/>
      <c r="I69" s="1139"/>
      <c r="J69" s="1139"/>
      <c r="K69" s="1135"/>
      <c r="L69" s="113"/>
      <c r="M69" s="1140" t="s">
        <v>399</v>
      </c>
      <c r="N69" s="1141"/>
      <c r="O69" s="1142"/>
      <c r="P69" s="1273" t="s">
        <v>400</v>
      </c>
      <c r="Q69" s="1334"/>
      <c r="R69" s="1334"/>
      <c r="S69" s="1335"/>
      <c r="T69" s="1273" t="s">
        <v>401</v>
      </c>
      <c r="U69" s="1334"/>
      <c r="V69" s="1334"/>
      <c r="W69" s="1335"/>
      <c r="X69" s="50"/>
      <c r="Y69" s="50"/>
    </row>
    <row r="70" spans="1:25" s="49" customFormat="1" ht="45" customHeight="1">
      <c r="A70" s="50"/>
      <c r="B70" s="1190" t="s">
        <v>402</v>
      </c>
      <c r="C70" s="1191"/>
      <c r="D70" s="1191"/>
      <c r="E70" s="1134" t="s">
        <v>403</v>
      </c>
      <c r="F70" s="1135"/>
      <c r="G70" s="114"/>
      <c r="H70" s="1136" t="s">
        <v>404</v>
      </c>
      <c r="I70" s="1137"/>
      <c r="J70" s="1136" t="s">
        <v>405</v>
      </c>
      <c r="K70" s="1138"/>
      <c r="L70" s="113"/>
      <c r="M70" s="1143"/>
      <c r="N70" s="1143"/>
      <c r="O70" s="1144"/>
      <c r="P70" s="1336"/>
      <c r="Q70" s="1337"/>
      <c r="R70" s="1337"/>
      <c r="S70" s="1338"/>
      <c r="T70" s="1336"/>
      <c r="U70" s="1337"/>
      <c r="V70" s="1337"/>
      <c r="W70" s="1338"/>
      <c r="X70" s="50"/>
      <c r="Y70" s="50"/>
    </row>
    <row r="71" spans="1:25" s="49" customFormat="1" ht="18" customHeight="1">
      <c r="A71" s="50"/>
      <c r="B71" s="1354">
        <f>ROUNDDOWN(SUMIFS(別紙２①!$F$18:$F$64,別紙２①!$E$18:$E$64,"田",別紙２①!$I$18:$I$64,"",別紙２①!$L$18:$L$64,"〇"),0)</f>
        <v>0</v>
      </c>
      <c r="C71" s="1354"/>
      <c r="D71" s="1354"/>
      <c r="E71" s="1145">
        <f>ROUNDDOWN(SUMIFS(別紙２①!$F$18:$F$64,別紙２①!$E$18:$E$64,"畑",別紙２①!$I$18:$I$64,"",別紙２①!$L$18:$L$64,"〇"),0)</f>
        <v>0</v>
      </c>
      <c r="F71" s="1146"/>
      <c r="G71" s="332"/>
      <c r="H71" s="1147"/>
      <c r="I71" s="1148"/>
      <c r="J71" s="1149"/>
      <c r="K71" s="1148"/>
      <c r="L71" s="333"/>
      <c r="M71" s="1331">
        <v>10000</v>
      </c>
      <c r="N71" s="1332"/>
      <c r="O71" s="1333"/>
      <c r="P71" s="1145">
        <f>ROUNDDOWN((B71+E71)*M71/1000,0)</f>
        <v>0</v>
      </c>
      <c r="Q71" s="1323"/>
      <c r="R71" s="1323"/>
      <c r="S71" s="1146"/>
      <c r="T71" s="1324">
        <f>SUM(P71:S72)</f>
        <v>0</v>
      </c>
      <c r="U71" s="1325"/>
      <c r="V71" s="1325"/>
      <c r="W71" s="1326"/>
      <c r="X71" s="50"/>
      <c r="Y71" s="50"/>
    </row>
    <row r="72" spans="1:25" s="49" customFormat="1" ht="18" customHeight="1">
      <c r="A72" s="50"/>
      <c r="B72" s="1316"/>
      <c r="C72" s="1316"/>
      <c r="D72" s="1316"/>
      <c r="E72" s="1147"/>
      <c r="F72" s="1148"/>
      <c r="G72" s="332"/>
      <c r="H72" s="1317">
        <f>ROUNDDOWN(SUMIFS(別紙２①!$F$18:$F$64,別紙２①!$E$18:$E$64,"田",別紙２①!$I$18:$I$64,"〇",別紙２①!$L$18:$L$64,"〇"),0)</f>
        <v>0</v>
      </c>
      <c r="I72" s="1318"/>
      <c r="J72" s="1311">
        <f>ROUNDDOWN(SUMIFS(別紙２①!$F$18:$F$64,別紙２①!$E$18:$E$64,"畑",別紙２①!$I$18:$I$64,"〇",別紙２①!$L$18:$L$64,"〇"),0)</f>
        <v>0</v>
      </c>
      <c r="K72" s="1318"/>
      <c r="L72" s="334"/>
      <c r="M72" s="1319">
        <v>14000</v>
      </c>
      <c r="N72" s="1320"/>
      <c r="O72" s="1321"/>
      <c r="P72" s="1317">
        <f>ROUNDDOWN((H72+J72)*M72/1000,0)</f>
        <v>0</v>
      </c>
      <c r="Q72" s="1322"/>
      <c r="R72" s="1322"/>
      <c r="S72" s="1318"/>
      <c r="T72" s="1327"/>
      <c r="U72" s="1328"/>
      <c r="V72" s="1328"/>
      <c r="W72" s="1329"/>
      <c r="X72" s="50"/>
      <c r="Y72" s="50"/>
    </row>
    <row r="73" spans="1:25" s="49" customFormat="1" ht="16.149999999999999" customHeight="1">
      <c r="A73" s="101"/>
      <c r="B73" s="1152" t="s">
        <v>406</v>
      </c>
      <c r="C73" s="1152"/>
      <c r="D73" s="1152"/>
      <c r="E73" s="1152"/>
      <c r="F73" s="1152"/>
      <c r="G73" s="1152"/>
      <c r="H73" s="1152"/>
      <c r="I73" s="1152"/>
      <c r="J73" s="1152"/>
      <c r="K73" s="1152"/>
      <c r="L73" s="1152"/>
      <c r="M73" s="1152"/>
      <c r="N73" s="1152"/>
      <c r="O73" s="1152"/>
      <c r="P73" s="1152"/>
      <c r="Q73" s="1152"/>
      <c r="R73" s="1152"/>
      <c r="S73" s="1152"/>
      <c r="T73" s="1152"/>
      <c r="U73" s="1152"/>
      <c r="V73" s="1152"/>
      <c r="W73" s="1152"/>
      <c r="X73" s="1152"/>
    </row>
    <row r="74" spans="1:25" s="49" customFormat="1" ht="16.149999999999999" customHeight="1">
      <c r="A74" s="101"/>
      <c r="B74" s="1152" t="s">
        <v>407</v>
      </c>
      <c r="C74" s="1152"/>
      <c r="D74" s="1152"/>
      <c r="E74" s="1152"/>
      <c r="F74" s="1152"/>
      <c r="G74" s="1152"/>
      <c r="H74" s="1152"/>
      <c r="I74" s="1152"/>
      <c r="J74" s="1152"/>
      <c r="K74" s="1152"/>
      <c r="L74" s="1152"/>
      <c r="M74" s="1152"/>
      <c r="N74" s="1152"/>
      <c r="O74" s="1152"/>
      <c r="P74" s="1152"/>
      <c r="Q74" s="1152"/>
      <c r="R74" s="1152"/>
      <c r="S74" s="1152"/>
      <c r="T74" s="1152"/>
      <c r="U74" s="1152"/>
      <c r="V74" s="1152"/>
      <c r="W74" s="1152"/>
      <c r="X74" s="1152"/>
    </row>
    <row r="75" spans="1:25" s="49" customFormat="1" ht="12" customHeight="1">
      <c r="A75" s="101"/>
      <c r="B75" s="50"/>
      <c r="C75" s="50"/>
      <c r="D75" s="50"/>
      <c r="E75" s="50"/>
      <c r="F75" s="50"/>
      <c r="G75" s="50"/>
      <c r="H75" s="50"/>
      <c r="I75" s="50"/>
      <c r="J75" s="50"/>
      <c r="K75" s="50"/>
      <c r="L75" s="50"/>
      <c r="M75" s="50"/>
      <c r="N75" s="50"/>
      <c r="O75" s="50"/>
      <c r="P75" s="50"/>
      <c r="Q75" s="50"/>
      <c r="R75" s="50"/>
      <c r="S75" s="50"/>
      <c r="T75" s="50"/>
      <c r="U75" s="50"/>
      <c r="V75" s="50"/>
      <c r="W75" s="50"/>
      <c r="X75" s="50"/>
    </row>
    <row r="76" spans="1:25" s="49" customFormat="1" ht="18" customHeight="1">
      <c r="A76" s="101" t="s">
        <v>408</v>
      </c>
      <c r="B76" s="50"/>
      <c r="C76" s="50"/>
      <c r="D76" s="50"/>
      <c r="E76" s="50"/>
      <c r="F76" s="50"/>
      <c r="G76" s="50"/>
      <c r="H76" s="50"/>
      <c r="I76" s="50"/>
      <c r="J76" s="50"/>
      <c r="K76" s="50"/>
      <c r="L76" s="50"/>
      <c r="M76" s="50"/>
      <c r="N76" s="50"/>
      <c r="O76" s="50"/>
      <c r="P76" s="50"/>
      <c r="Q76" s="50"/>
      <c r="R76" s="50"/>
      <c r="S76" s="50"/>
      <c r="T76" s="50"/>
      <c r="U76" s="50"/>
      <c r="V76" s="50"/>
      <c r="W76" s="50"/>
      <c r="X76" s="50"/>
    </row>
    <row r="77" spans="1:25" s="49" customFormat="1" ht="18" customHeight="1">
      <c r="A77" s="50"/>
      <c r="B77" s="1123" t="s">
        <v>99</v>
      </c>
      <c r="C77" s="1124"/>
      <c r="D77" s="1124"/>
      <c r="E77" s="1124"/>
      <c r="F77" s="1124"/>
      <c r="G77" s="1124"/>
      <c r="H77" s="1124"/>
      <c r="I77" s="1124"/>
      <c r="J77" s="1124"/>
      <c r="K77" s="1124"/>
      <c r="L77" s="1124"/>
      <c r="M77" s="1124"/>
      <c r="N77" s="1124"/>
      <c r="O77" s="1124"/>
      <c r="P77" s="1124"/>
      <c r="Q77" s="1124"/>
      <c r="R77" s="1124"/>
      <c r="S77" s="1124"/>
      <c r="T77" s="1124"/>
      <c r="U77" s="1124"/>
      <c r="V77" s="1124"/>
      <c r="W77" s="1125"/>
      <c r="X77" s="50"/>
      <c r="Y77" s="50"/>
    </row>
    <row r="78" spans="1:25" s="49" customFormat="1" ht="18" customHeight="1">
      <c r="A78" s="50"/>
      <c r="B78" s="1191" t="s">
        <v>398</v>
      </c>
      <c r="C78" s="1191"/>
      <c r="D78" s="1191"/>
      <c r="E78" s="1191"/>
      <c r="F78" s="1191"/>
      <c r="G78" s="1191"/>
      <c r="H78" s="1191"/>
      <c r="I78" s="1273" t="s">
        <v>399</v>
      </c>
      <c r="J78" s="1276"/>
      <c r="K78" s="1276"/>
      <c r="L78" s="1276"/>
      <c r="M78" s="1277"/>
      <c r="N78" s="1342" t="s">
        <v>400</v>
      </c>
      <c r="O78" s="1231"/>
      <c r="P78" s="1231"/>
      <c r="Q78" s="1231"/>
      <c r="R78" s="1231"/>
      <c r="S78" s="1273" t="s">
        <v>401</v>
      </c>
      <c r="T78" s="1276"/>
      <c r="U78" s="1276"/>
      <c r="V78" s="1276"/>
      <c r="W78" s="1277"/>
      <c r="X78" s="50"/>
      <c r="Y78" s="50"/>
    </row>
    <row r="79" spans="1:25" s="49" customFormat="1" ht="36" customHeight="1">
      <c r="A79" s="50"/>
      <c r="B79" s="1343" t="s">
        <v>404</v>
      </c>
      <c r="C79" s="1124"/>
      <c r="D79" s="1125"/>
      <c r="E79" s="1134" t="s">
        <v>405</v>
      </c>
      <c r="F79" s="1263"/>
      <c r="G79" s="1263"/>
      <c r="H79" s="1264"/>
      <c r="I79" s="1339"/>
      <c r="J79" s="1340"/>
      <c r="K79" s="1340"/>
      <c r="L79" s="1340"/>
      <c r="M79" s="1341"/>
      <c r="N79" s="1153"/>
      <c r="O79" s="1153"/>
      <c r="P79" s="1153"/>
      <c r="Q79" s="1153"/>
      <c r="R79" s="1153"/>
      <c r="S79" s="1283"/>
      <c r="T79" s="1284"/>
      <c r="U79" s="1284"/>
      <c r="V79" s="1284"/>
      <c r="W79" s="1285"/>
      <c r="X79" s="50"/>
      <c r="Y79" s="50"/>
    </row>
    <row r="80" spans="1:25" s="49" customFormat="1" ht="18" customHeight="1">
      <c r="A80" s="50"/>
      <c r="B80" s="1129">
        <f>ROUNDDOWN(SUMIFS(別紙２①!$F$18:$F$64,別紙２①!$E$18:$E$64,"田",別紙２①!$M$18:$M$64,"〇"),0)</f>
        <v>6260</v>
      </c>
      <c r="C80" s="1129"/>
      <c r="D80" s="1129"/>
      <c r="E80" s="1129">
        <f>ROUNDDOWN(SUMIFS(別紙２①!$F$18:$F$64,別紙２①!$E$18:$E$64,"畑",別紙２①!$M$18:$M$64,"〇"),0)</f>
        <v>0</v>
      </c>
      <c r="F80" s="1129"/>
      <c r="G80" s="1129"/>
      <c r="H80" s="1129"/>
      <c r="I80" s="1308">
        <v>6000</v>
      </c>
      <c r="J80" s="1309"/>
      <c r="K80" s="1309"/>
      <c r="L80" s="1309"/>
      <c r="M80" s="1309"/>
      <c r="N80" s="1310">
        <f>ROUNDDOWN((B80+E80)*I80/1000,0)</f>
        <v>37560</v>
      </c>
      <c r="O80" s="1310"/>
      <c r="P80" s="1310"/>
      <c r="Q80" s="1310"/>
      <c r="R80" s="1310"/>
      <c r="S80" s="1311">
        <f>N80</f>
        <v>37560</v>
      </c>
      <c r="T80" s="1312"/>
      <c r="U80" s="1312"/>
      <c r="V80" s="1312"/>
      <c r="W80" s="1313"/>
      <c r="X80" s="50"/>
      <c r="Y80" s="50"/>
    </row>
    <row r="81" spans="1:24" s="49" customFormat="1" ht="16.149999999999999" customHeight="1">
      <c r="A81" s="101"/>
      <c r="B81" s="1152" t="s">
        <v>406</v>
      </c>
      <c r="C81" s="1152"/>
      <c r="D81" s="1152"/>
      <c r="E81" s="1152"/>
      <c r="F81" s="1152"/>
      <c r="G81" s="1152"/>
      <c r="H81" s="1152"/>
      <c r="I81" s="1152"/>
      <c r="J81" s="1152"/>
      <c r="K81" s="1152"/>
      <c r="L81" s="1152"/>
      <c r="M81" s="1152"/>
      <c r="N81" s="1152"/>
      <c r="O81" s="1152"/>
      <c r="P81" s="1152"/>
      <c r="Q81" s="1152"/>
      <c r="R81" s="1152"/>
      <c r="S81" s="1152"/>
      <c r="T81" s="1152"/>
      <c r="U81" s="1152"/>
      <c r="V81" s="1152"/>
      <c r="W81" s="1152"/>
      <c r="X81" s="1152"/>
    </row>
    <row r="82" spans="1:24" s="49" customFormat="1" ht="16.149999999999999" customHeight="1">
      <c r="A82" s="101"/>
      <c r="B82" s="1152" t="s">
        <v>407</v>
      </c>
      <c r="C82" s="1152"/>
      <c r="D82" s="1152"/>
      <c r="E82" s="1152"/>
      <c r="F82" s="1152"/>
      <c r="G82" s="1152"/>
      <c r="H82" s="1152"/>
      <c r="I82" s="1152"/>
      <c r="J82" s="1152"/>
      <c r="K82" s="1152"/>
      <c r="L82" s="1152"/>
      <c r="M82" s="1152"/>
      <c r="N82" s="1152"/>
      <c r="O82" s="1152"/>
      <c r="P82" s="1152"/>
      <c r="Q82" s="1152"/>
      <c r="R82" s="1152"/>
      <c r="S82" s="1152"/>
      <c r="T82" s="1152"/>
      <c r="U82" s="1152"/>
      <c r="V82" s="1152"/>
      <c r="W82" s="1152"/>
      <c r="X82" s="1152"/>
    </row>
    <row r="83" spans="1:24" s="49" customFormat="1" ht="18" customHeight="1">
      <c r="A83" s="101"/>
      <c r="B83" s="50"/>
      <c r="C83" s="50"/>
      <c r="D83" s="50"/>
      <c r="E83" s="50"/>
      <c r="F83" s="50"/>
      <c r="G83" s="50"/>
      <c r="H83" s="50"/>
      <c r="I83" s="50"/>
      <c r="J83" s="50"/>
      <c r="K83" s="50"/>
      <c r="L83" s="50"/>
      <c r="M83" s="50"/>
      <c r="N83" s="50"/>
      <c r="O83" s="50"/>
      <c r="P83" s="50"/>
      <c r="Q83" s="50"/>
      <c r="R83" s="50"/>
      <c r="S83" s="50"/>
      <c r="T83" s="50"/>
      <c r="U83" s="50"/>
      <c r="V83" s="50"/>
      <c r="W83" s="50"/>
      <c r="X83" s="50"/>
    </row>
    <row r="84" spans="1:24" s="49" customFormat="1" ht="18" customHeight="1">
      <c r="A84" s="101" t="s">
        <v>409</v>
      </c>
      <c r="B84" s="50"/>
      <c r="C84" s="50"/>
      <c r="D84" s="50"/>
      <c r="E84" s="50"/>
      <c r="F84" s="50"/>
      <c r="G84" s="50"/>
      <c r="H84" s="50"/>
      <c r="I84" s="50"/>
      <c r="J84" s="50"/>
      <c r="K84" s="50"/>
      <c r="L84" s="50"/>
      <c r="M84" s="50"/>
      <c r="N84" s="50"/>
      <c r="O84" s="50"/>
      <c r="P84" s="50"/>
      <c r="Q84" s="50"/>
      <c r="R84" s="50"/>
      <c r="S84" s="50"/>
      <c r="T84" s="50"/>
      <c r="U84" s="50"/>
      <c r="V84" s="50"/>
      <c r="W84" s="50"/>
      <c r="X84" s="50"/>
    </row>
    <row r="85" spans="1:24" s="49" customFormat="1" ht="18" customHeight="1">
      <c r="A85" s="50"/>
      <c r="B85" s="1123" t="s">
        <v>100</v>
      </c>
      <c r="C85" s="1124"/>
      <c r="D85" s="1124"/>
      <c r="E85" s="1124"/>
      <c r="F85" s="1124"/>
      <c r="G85" s="1124"/>
      <c r="H85" s="1124"/>
      <c r="I85" s="1124"/>
      <c r="J85" s="1124"/>
      <c r="K85" s="1124"/>
      <c r="L85" s="1124"/>
      <c r="M85" s="1124"/>
      <c r="N85" s="1124"/>
      <c r="O85" s="1124"/>
      <c r="P85" s="1124"/>
      <c r="Q85" s="1124"/>
      <c r="R85" s="1124"/>
      <c r="S85" s="1124"/>
      <c r="T85" s="1124"/>
      <c r="U85" s="260"/>
      <c r="V85" s="261"/>
      <c r="W85" s="261"/>
      <c r="X85" s="50"/>
    </row>
    <row r="86" spans="1:24" s="49" customFormat="1" ht="18" customHeight="1">
      <c r="A86" s="50"/>
      <c r="B86" s="1279" t="s">
        <v>398</v>
      </c>
      <c r="C86" s="1280"/>
      <c r="D86" s="1280"/>
      <c r="E86" s="1280"/>
      <c r="F86" s="1280"/>
      <c r="G86" s="1280"/>
      <c r="H86" s="1280"/>
      <c r="I86" s="1280"/>
      <c r="J86" s="1281"/>
      <c r="K86" s="1273" t="s">
        <v>410</v>
      </c>
      <c r="L86" s="1282"/>
      <c r="M86" s="1277"/>
      <c r="N86" s="1273" t="s">
        <v>400</v>
      </c>
      <c r="O86" s="1274"/>
      <c r="P86" s="1273" t="s">
        <v>411</v>
      </c>
      <c r="Q86" s="1282"/>
      <c r="R86" s="1277"/>
      <c r="S86" s="1314" t="s">
        <v>412</v>
      </c>
      <c r="T86" s="1273"/>
      <c r="U86" s="262"/>
      <c r="V86" s="263"/>
      <c r="W86" s="52"/>
      <c r="X86" s="50"/>
    </row>
    <row r="87" spans="1:24" s="49" customFormat="1" ht="36" customHeight="1">
      <c r="A87" s="50"/>
      <c r="B87" s="1271" t="s">
        <v>385</v>
      </c>
      <c r="C87" s="1272"/>
      <c r="D87" s="1273" t="s">
        <v>413</v>
      </c>
      <c r="E87" s="1274"/>
      <c r="F87" s="1275" t="s">
        <v>386</v>
      </c>
      <c r="G87" s="1276"/>
      <c r="H87" s="1277"/>
      <c r="I87" s="1273" t="s">
        <v>387</v>
      </c>
      <c r="J87" s="1274"/>
      <c r="K87" s="1283"/>
      <c r="L87" s="1284"/>
      <c r="M87" s="1285"/>
      <c r="N87" s="1286"/>
      <c r="O87" s="1287"/>
      <c r="P87" s="1283"/>
      <c r="Q87" s="1284"/>
      <c r="R87" s="1285"/>
      <c r="S87" s="1315"/>
      <c r="T87" s="1286"/>
      <c r="U87" s="264"/>
      <c r="V87" s="52"/>
      <c r="W87" s="52"/>
      <c r="X87" s="50"/>
    </row>
    <row r="88" spans="1:24" s="49" customFormat="1" ht="18" customHeight="1">
      <c r="A88" s="50"/>
      <c r="B88" s="1291"/>
      <c r="C88" s="1292"/>
      <c r="D88" s="1291"/>
      <c r="E88" s="1292"/>
      <c r="F88" s="1291"/>
      <c r="G88" s="1293"/>
      <c r="H88" s="1292"/>
      <c r="I88" s="1291"/>
      <c r="J88" s="1292"/>
      <c r="K88" s="1265">
        <v>10000</v>
      </c>
      <c r="L88" s="1266"/>
      <c r="M88" s="1267"/>
      <c r="N88" s="1150">
        <f>ROUNDDOWN((B88+D88+F88+I88)*K88/1000,0)</f>
        <v>0</v>
      </c>
      <c r="O88" s="1151"/>
      <c r="P88" s="1299">
        <f>N88+N89+N90</f>
        <v>0</v>
      </c>
      <c r="Q88" s="1300"/>
      <c r="R88" s="1301"/>
      <c r="S88" s="1154">
        <f>IF(P88&lt;U88,P88,U88)</f>
        <v>0</v>
      </c>
      <c r="T88" s="1155"/>
      <c r="U88" s="267">
        <v>1000000</v>
      </c>
      <c r="V88" s="266"/>
      <c r="W88" s="266"/>
      <c r="X88" s="50"/>
    </row>
    <row r="89" spans="1:24" s="49" customFormat="1" ht="18" customHeight="1">
      <c r="A89" s="50"/>
      <c r="B89" s="1291"/>
      <c r="C89" s="1292"/>
      <c r="D89" s="1291"/>
      <c r="E89" s="1292"/>
      <c r="F89" s="1291"/>
      <c r="G89" s="1293"/>
      <c r="H89" s="1292"/>
      <c r="I89" s="1294"/>
      <c r="J89" s="1295"/>
      <c r="K89" s="1296">
        <v>4000</v>
      </c>
      <c r="L89" s="1297"/>
      <c r="M89" s="1298"/>
      <c r="N89" s="1150">
        <f>ROUNDDOWN((B89+D89+F89+I89)*K89/1000,0)</f>
        <v>0</v>
      </c>
      <c r="O89" s="1151"/>
      <c r="P89" s="1302"/>
      <c r="Q89" s="1303"/>
      <c r="R89" s="1304"/>
      <c r="S89" s="1156"/>
      <c r="T89" s="1157"/>
      <c r="U89" s="265"/>
      <c r="V89" s="266"/>
      <c r="W89" s="266"/>
      <c r="X89" s="50"/>
    </row>
    <row r="90" spans="1:24" s="49" customFormat="1" ht="18" customHeight="1">
      <c r="A90" s="50"/>
      <c r="B90" s="1291"/>
      <c r="C90" s="1292"/>
      <c r="D90" s="1291"/>
      <c r="E90" s="1292"/>
      <c r="F90" s="1291"/>
      <c r="G90" s="1293"/>
      <c r="H90" s="1292"/>
      <c r="I90" s="1294"/>
      <c r="J90" s="1295"/>
      <c r="K90" s="1296">
        <v>1000</v>
      </c>
      <c r="L90" s="1297"/>
      <c r="M90" s="1298"/>
      <c r="N90" s="1150">
        <f>ROUNDDOWN((B90+D90+F90+I90)*K90/1000,0)</f>
        <v>0</v>
      </c>
      <c r="O90" s="1151"/>
      <c r="P90" s="1305"/>
      <c r="Q90" s="1306"/>
      <c r="R90" s="1307"/>
      <c r="S90" s="1158"/>
      <c r="T90" s="1159"/>
      <c r="U90" s="265"/>
      <c r="V90" s="266"/>
      <c r="W90" s="266"/>
      <c r="X90" s="50"/>
    </row>
    <row r="91" spans="1:24" s="49" customFormat="1" ht="15" customHeight="1">
      <c r="A91" s="101"/>
      <c r="B91" s="1152" t="s">
        <v>406</v>
      </c>
      <c r="C91" s="1152"/>
      <c r="D91" s="1152"/>
      <c r="E91" s="1152"/>
      <c r="F91" s="1152"/>
      <c r="G91" s="1152"/>
      <c r="H91" s="1152"/>
      <c r="I91" s="1152"/>
      <c r="J91" s="1152"/>
      <c r="K91" s="1152"/>
      <c r="L91" s="1152"/>
      <c r="M91" s="1152"/>
      <c r="N91" s="1152"/>
      <c r="O91" s="1152"/>
      <c r="P91" s="1152"/>
      <c r="Q91" s="1152"/>
      <c r="R91" s="1152"/>
      <c r="S91" s="1152"/>
      <c r="T91" s="1152"/>
      <c r="U91" s="1152"/>
      <c r="V91" s="1152"/>
      <c r="W91" s="1152"/>
      <c r="X91" s="1152"/>
    </row>
    <row r="92" spans="1:24" s="49" customFormat="1" ht="32.25" customHeight="1">
      <c r="A92" s="101"/>
      <c r="B92" s="1152" t="s">
        <v>414</v>
      </c>
      <c r="C92" s="1152"/>
      <c r="D92" s="1152"/>
      <c r="E92" s="1152"/>
      <c r="F92" s="1152"/>
      <c r="G92" s="1152"/>
      <c r="H92" s="1152"/>
      <c r="I92" s="1152"/>
      <c r="J92" s="1152"/>
      <c r="K92" s="1152"/>
      <c r="L92" s="1152"/>
      <c r="M92" s="1152"/>
      <c r="N92" s="1152"/>
      <c r="O92" s="1152"/>
      <c r="P92" s="1152"/>
      <c r="Q92" s="1152"/>
      <c r="R92" s="1152"/>
      <c r="S92" s="1152"/>
      <c r="T92" s="1152"/>
      <c r="U92" s="1152"/>
      <c r="V92" s="1152"/>
      <c r="W92" s="1152"/>
      <c r="X92" s="1152"/>
    </row>
    <row r="93" spans="1:24" s="49" customFormat="1" ht="15" customHeight="1">
      <c r="A93" s="101"/>
      <c r="B93" s="1152"/>
      <c r="C93" s="1152"/>
      <c r="D93" s="1152"/>
      <c r="E93" s="1152"/>
      <c r="F93" s="1152"/>
      <c r="G93" s="1152"/>
      <c r="H93" s="1152"/>
      <c r="I93" s="1152"/>
      <c r="J93" s="1152"/>
      <c r="K93" s="1152"/>
      <c r="L93" s="1152"/>
      <c r="M93" s="1152"/>
      <c r="N93" s="1152"/>
      <c r="O93" s="1152"/>
      <c r="P93" s="1152"/>
      <c r="Q93" s="1152"/>
      <c r="R93" s="1152"/>
      <c r="S93" s="1152"/>
      <c r="T93" s="1152"/>
      <c r="U93" s="1152"/>
      <c r="V93" s="1152"/>
      <c r="W93" s="1152"/>
      <c r="X93" s="1152"/>
    </row>
    <row r="94" spans="1:24" s="49" customFormat="1" ht="18" customHeight="1">
      <c r="A94" s="101"/>
      <c r="B94" s="50"/>
      <c r="C94" s="50"/>
      <c r="D94" s="50"/>
      <c r="E94" s="50"/>
      <c r="F94" s="50"/>
      <c r="G94" s="50"/>
      <c r="H94" s="50"/>
      <c r="I94" s="50"/>
      <c r="J94" s="50"/>
      <c r="K94" s="50"/>
      <c r="L94" s="50"/>
      <c r="M94" s="50"/>
      <c r="N94" s="50"/>
      <c r="O94" s="50"/>
      <c r="P94" s="50"/>
      <c r="Q94" s="50"/>
      <c r="R94" s="50"/>
      <c r="S94" s="50"/>
      <c r="T94" s="50"/>
      <c r="U94" s="50"/>
      <c r="V94" s="50"/>
      <c r="W94" s="50"/>
      <c r="X94" s="50"/>
    </row>
    <row r="95" spans="1:24" s="49" customFormat="1" ht="18" customHeight="1">
      <c r="A95" s="101" t="s">
        <v>415</v>
      </c>
      <c r="B95" s="50"/>
      <c r="C95" s="50"/>
      <c r="D95" s="50"/>
      <c r="E95" s="50"/>
      <c r="F95" s="50"/>
      <c r="G95" s="50"/>
      <c r="H95" s="50"/>
      <c r="I95" s="50"/>
      <c r="J95" s="50"/>
      <c r="K95" s="50"/>
      <c r="L95" s="50"/>
      <c r="M95" s="50"/>
      <c r="N95" s="50"/>
      <c r="O95" s="50"/>
      <c r="P95" s="50"/>
      <c r="Q95" s="50"/>
      <c r="R95" s="50"/>
      <c r="S95" s="50"/>
      <c r="T95" s="50"/>
      <c r="U95" s="50"/>
      <c r="V95" s="50"/>
      <c r="W95" s="50"/>
      <c r="X95" s="50"/>
    </row>
    <row r="96" spans="1:24" s="49" customFormat="1" ht="18" customHeight="1">
      <c r="A96" s="101"/>
      <c r="B96" s="1153" t="s">
        <v>416</v>
      </c>
      <c r="C96" s="1153"/>
      <c r="D96" s="1153"/>
      <c r="E96" s="1153"/>
      <c r="F96" s="1153"/>
      <c r="G96" s="115"/>
      <c r="H96" s="1153" t="s">
        <v>417</v>
      </c>
      <c r="I96" s="1153"/>
      <c r="J96" s="1153"/>
      <c r="K96" s="1116" t="s">
        <v>418</v>
      </c>
      <c r="L96" s="1116"/>
      <c r="M96" s="1116"/>
      <c r="N96" s="1116"/>
      <c r="O96" s="1116"/>
      <c r="P96" s="1116"/>
      <c r="Q96" s="1116"/>
      <c r="R96" s="1116"/>
      <c r="S96" s="50"/>
      <c r="T96" s="50"/>
      <c r="U96" s="50"/>
      <c r="V96" s="50"/>
      <c r="W96" s="50"/>
      <c r="X96" s="50"/>
    </row>
    <row r="97" spans="1:24" s="49" customFormat="1" ht="18" customHeight="1">
      <c r="A97" s="101"/>
      <c r="B97" s="1114" t="s">
        <v>419</v>
      </c>
      <c r="C97" s="1114"/>
      <c r="D97" s="1114"/>
      <c r="E97" s="1114"/>
      <c r="F97" s="1114"/>
      <c r="G97" s="397"/>
      <c r="H97" s="1114"/>
      <c r="I97" s="1114"/>
      <c r="J97" s="1114"/>
      <c r="K97" s="1115">
        <v>20000</v>
      </c>
      <c r="L97" s="1115"/>
      <c r="M97" s="1115"/>
      <c r="N97" s="1115"/>
      <c r="O97" s="1115"/>
      <c r="P97" s="1115"/>
      <c r="Q97" s="1115"/>
      <c r="R97" s="1115"/>
      <c r="S97" s="50"/>
      <c r="T97" s="50"/>
      <c r="U97" s="50"/>
      <c r="V97" s="50"/>
      <c r="W97" s="50"/>
      <c r="X97" s="50"/>
    </row>
    <row r="98" spans="1:24" s="49" customFormat="1" ht="18" customHeight="1">
      <c r="A98" s="101"/>
      <c r="B98" s="1114" t="s">
        <v>419</v>
      </c>
      <c r="C98" s="1114"/>
      <c r="D98" s="1114"/>
      <c r="E98" s="1114"/>
      <c r="F98" s="1114"/>
      <c r="G98" s="397"/>
      <c r="H98" s="1114"/>
      <c r="I98" s="1114"/>
      <c r="J98" s="1114"/>
      <c r="K98" s="1115">
        <v>100000</v>
      </c>
      <c r="L98" s="1115"/>
      <c r="M98" s="1115"/>
      <c r="N98" s="1115"/>
      <c r="O98" s="1115"/>
      <c r="P98" s="1115"/>
      <c r="Q98" s="1115"/>
      <c r="R98" s="1115"/>
      <c r="S98" s="50"/>
      <c r="T98" s="50"/>
      <c r="U98" s="50"/>
      <c r="V98" s="50"/>
      <c r="W98" s="50"/>
      <c r="X98" s="50"/>
    </row>
    <row r="99" spans="1:24" s="49" customFormat="1" ht="18" customHeight="1">
      <c r="A99" s="101"/>
      <c r="B99" s="1114"/>
      <c r="C99" s="1114"/>
      <c r="D99" s="1114"/>
      <c r="E99" s="1114"/>
      <c r="F99" s="1114"/>
      <c r="G99" s="397"/>
      <c r="H99" s="1114"/>
      <c r="I99" s="1114"/>
      <c r="J99" s="1114"/>
      <c r="K99" s="1115"/>
      <c r="L99" s="1115"/>
      <c r="M99" s="1115"/>
      <c r="N99" s="1115"/>
      <c r="O99" s="1115"/>
      <c r="P99" s="1115"/>
      <c r="Q99" s="1115"/>
      <c r="R99" s="1115"/>
      <c r="S99" s="50"/>
      <c r="T99" s="50"/>
      <c r="U99" s="50"/>
      <c r="V99" s="50"/>
      <c r="W99" s="50"/>
      <c r="X99" s="50"/>
    </row>
    <row r="100" spans="1:24" s="49" customFormat="1" ht="18" customHeight="1">
      <c r="A100" s="101"/>
      <c r="B100" s="1114"/>
      <c r="C100" s="1114"/>
      <c r="D100" s="1114"/>
      <c r="E100" s="1114"/>
      <c r="F100" s="1114"/>
      <c r="G100" s="397"/>
      <c r="H100" s="1114"/>
      <c r="I100" s="1114"/>
      <c r="J100" s="1114"/>
      <c r="K100" s="1115"/>
      <c r="L100" s="1115"/>
      <c r="M100" s="1115"/>
      <c r="N100" s="1115"/>
      <c r="O100" s="1115"/>
      <c r="P100" s="1115"/>
      <c r="Q100" s="1115"/>
      <c r="R100" s="1115"/>
      <c r="S100" s="50"/>
      <c r="T100" s="50"/>
      <c r="U100" s="50"/>
      <c r="V100" s="50"/>
      <c r="W100" s="50"/>
      <c r="X100" s="50"/>
    </row>
    <row r="101" spans="1:24" s="49" customFormat="1" ht="18" customHeight="1">
      <c r="A101" s="101"/>
      <c r="B101" s="1114"/>
      <c r="C101" s="1114"/>
      <c r="D101" s="1114"/>
      <c r="E101" s="1114"/>
      <c r="F101" s="1114"/>
      <c r="G101" s="397"/>
      <c r="H101" s="1114"/>
      <c r="I101" s="1114"/>
      <c r="J101" s="1114"/>
      <c r="K101" s="1115"/>
      <c r="L101" s="1115"/>
      <c r="M101" s="1115"/>
      <c r="N101" s="1115"/>
      <c r="O101" s="1115"/>
      <c r="P101" s="1115"/>
      <c r="Q101" s="1115"/>
      <c r="R101" s="1115"/>
      <c r="S101" s="50"/>
      <c r="T101" s="50"/>
      <c r="U101" s="50"/>
      <c r="V101" s="50"/>
      <c r="W101" s="50"/>
      <c r="X101" s="50"/>
    </row>
    <row r="102" spans="1:24" s="49" customFormat="1" ht="18" customHeight="1">
      <c r="A102" s="101"/>
      <c r="B102" s="1422" t="s">
        <v>420</v>
      </c>
      <c r="C102" s="1423"/>
      <c r="D102" s="1423"/>
      <c r="E102" s="1423"/>
      <c r="F102" s="1423"/>
      <c r="G102" s="1423"/>
      <c r="H102" s="1423"/>
      <c r="I102" s="1423"/>
      <c r="J102" s="1423"/>
      <c r="K102" s="1423"/>
      <c r="L102" s="1423"/>
      <c r="M102" s="1423"/>
      <c r="N102" s="1423"/>
      <c r="O102" s="1423"/>
      <c r="P102" s="1423"/>
      <c r="Q102" s="1423"/>
      <c r="R102" s="1424"/>
      <c r="S102" s="50"/>
      <c r="T102" s="50"/>
      <c r="U102" s="50"/>
      <c r="V102" s="50"/>
      <c r="W102" s="50"/>
      <c r="X102" s="50"/>
    </row>
    <row r="103" spans="1:24" s="49" customFormat="1" ht="24" customHeight="1">
      <c r="A103" s="101"/>
      <c r="B103" s="1120">
        <f>COUNTIFS($B$97:$H$101,"&lt;&gt;")</f>
        <v>2</v>
      </c>
      <c r="C103" s="1121"/>
      <c r="D103" s="1121"/>
      <c r="E103" s="1121"/>
      <c r="F103" s="1121"/>
      <c r="G103" s="1121"/>
      <c r="H103" s="1121"/>
      <c r="I103" s="1121"/>
      <c r="J103" s="1122"/>
      <c r="K103" s="1129">
        <f>SUM(K97:R101)</f>
        <v>120000</v>
      </c>
      <c r="L103" s="1129"/>
      <c r="M103" s="1129"/>
      <c r="N103" s="1129"/>
      <c r="O103" s="1129"/>
      <c r="P103" s="1129"/>
      <c r="Q103" s="1129"/>
      <c r="R103" s="1129"/>
      <c r="S103" s="50"/>
      <c r="T103" s="50"/>
      <c r="U103" s="50"/>
      <c r="V103" s="50"/>
      <c r="W103" s="50"/>
      <c r="X103" s="50"/>
    </row>
    <row r="104" spans="1:24" s="49" customFormat="1" ht="18" customHeight="1">
      <c r="A104" s="101"/>
      <c r="B104" s="116"/>
      <c r="C104" s="50"/>
      <c r="D104" s="50"/>
      <c r="E104" s="50"/>
      <c r="F104" s="50"/>
      <c r="G104" s="50"/>
      <c r="H104" s="50"/>
      <c r="I104" s="50"/>
      <c r="J104" s="50"/>
      <c r="K104" s="50"/>
      <c r="L104" s="50"/>
      <c r="M104" s="50"/>
      <c r="N104" s="50"/>
      <c r="O104" s="50"/>
      <c r="P104" s="50"/>
      <c r="Q104" s="50"/>
      <c r="R104" s="50"/>
      <c r="S104" s="50"/>
      <c r="T104" s="50"/>
      <c r="U104" s="50"/>
      <c r="V104" s="50"/>
      <c r="W104" s="50"/>
      <c r="X104" s="50"/>
    </row>
    <row r="105" spans="1:24" s="49" customFormat="1" ht="18" customHeight="1">
      <c r="A105" s="101"/>
      <c r="B105" s="50"/>
      <c r="C105" s="50"/>
      <c r="D105" s="50"/>
      <c r="E105" s="50"/>
      <c r="F105" s="50"/>
      <c r="G105" s="50"/>
      <c r="H105" s="50"/>
      <c r="I105" s="50"/>
      <c r="J105" s="50"/>
      <c r="K105" s="50"/>
      <c r="L105" s="50"/>
      <c r="M105" s="50"/>
      <c r="N105" s="50"/>
      <c r="O105" s="50"/>
      <c r="P105" s="50"/>
      <c r="Q105" s="50"/>
      <c r="R105" s="50"/>
      <c r="S105" s="50"/>
      <c r="T105" s="50"/>
      <c r="U105" s="50"/>
      <c r="V105" s="50"/>
      <c r="W105" s="50"/>
      <c r="X105" s="50"/>
    </row>
    <row r="106" spans="1:24" s="49" customFormat="1" ht="18" customHeight="1">
      <c r="A106" s="101" t="s">
        <v>421</v>
      </c>
      <c r="B106" s="50"/>
      <c r="C106" s="50"/>
      <c r="D106" s="50"/>
      <c r="E106" s="50"/>
      <c r="F106" s="50"/>
      <c r="G106" s="50"/>
      <c r="H106" s="50"/>
      <c r="I106" s="50"/>
      <c r="J106" s="50"/>
      <c r="K106" s="50"/>
      <c r="L106" s="50"/>
      <c r="M106" s="50"/>
      <c r="N106" s="50"/>
      <c r="O106" s="50"/>
      <c r="P106" s="50"/>
      <c r="Q106" s="50"/>
      <c r="R106" s="50"/>
      <c r="S106" s="50"/>
      <c r="T106" s="50"/>
      <c r="U106" s="50"/>
      <c r="V106" s="50"/>
      <c r="W106" s="50"/>
      <c r="X106" s="50"/>
    </row>
    <row r="107" spans="1:24" s="49" customFormat="1" ht="18" customHeight="1">
      <c r="A107" s="50"/>
      <c r="B107" s="1123" t="s">
        <v>422</v>
      </c>
      <c r="C107" s="1124"/>
      <c r="D107" s="1124"/>
      <c r="E107" s="1124"/>
      <c r="F107" s="1124"/>
      <c r="G107" s="1124"/>
      <c r="H107" s="1124"/>
      <c r="I107" s="1124"/>
      <c r="J107" s="1124"/>
      <c r="K107" s="1124"/>
      <c r="L107" s="1124"/>
      <c r="M107" s="1124"/>
      <c r="N107" s="1124"/>
      <c r="O107" s="1124"/>
      <c r="P107" s="1124"/>
      <c r="Q107" s="1124"/>
      <c r="R107" s="1124"/>
      <c r="S107" s="260"/>
      <c r="T107" s="261"/>
      <c r="U107" s="261"/>
      <c r="V107" s="261"/>
      <c r="W107" s="261"/>
      <c r="X107" s="50"/>
    </row>
    <row r="108" spans="1:24" s="49" customFormat="1" ht="18" customHeight="1">
      <c r="A108" s="50"/>
      <c r="B108" s="1279" t="s">
        <v>398</v>
      </c>
      <c r="C108" s="1280"/>
      <c r="D108" s="1280"/>
      <c r="E108" s="1280"/>
      <c r="F108" s="1280"/>
      <c r="G108" s="1280"/>
      <c r="H108" s="1280"/>
      <c r="I108" s="1280"/>
      <c r="J108" s="1281"/>
      <c r="K108" s="1273" t="s">
        <v>410</v>
      </c>
      <c r="L108" s="1282"/>
      <c r="M108" s="1277"/>
      <c r="N108" s="1273" t="s">
        <v>400</v>
      </c>
      <c r="O108" s="1274"/>
      <c r="P108" s="1273" t="s">
        <v>423</v>
      </c>
      <c r="Q108" s="1282"/>
      <c r="R108" s="1276"/>
      <c r="S108" s="262"/>
      <c r="T108" s="263"/>
      <c r="U108" s="263"/>
      <c r="V108" s="263"/>
      <c r="W108" s="52"/>
      <c r="X108" s="50"/>
    </row>
    <row r="109" spans="1:24" s="49" customFormat="1" ht="36" customHeight="1">
      <c r="A109" s="50"/>
      <c r="B109" s="1271" t="s">
        <v>385</v>
      </c>
      <c r="C109" s="1272"/>
      <c r="D109" s="1273" t="s">
        <v>413</v>
      </c>
      <c r="E109" s="1274"/>
      <c r="F109" s="1275" t="s">
        <v>386</v>
      </c>
      <c r="G109" s="1276"/>
      <c r="H109" s="1277"/>
      <c r="I109" s="1273" t="s">
        <v>387</v>
      </c>
      <c r="J109" s="1274"/>
      <c r="K109" s="1283"/>
      <c r="L109" s="1284"/>
      <c r="M109" s="1285"/>
      <c r="N109" s="1286"/>
      <c r="O109" s="1287"/>
      <c r="P109" s="1283"/>
      <c r="Q109" s="1284"/>
      <c r="R109" s="1284"/>
      <c r="S109" s="262"/>
      <c r="T109" s="263"/>
      <c r="U109" s="52"/>
      <c r="V109" s="52"/>
      <c r="W109" s="52"/>
      <c r="X109" s="50"/>
    </row>
    <row r="110" spans="1:24" s="49" customFormat="1" ht="18" customHeight="1">
      <c r="A110" s="50"/>
      <c r="B110" s="1150">
        <f>ROUNDDOWN(SUMIFS(別紙２①!$F$18:$F$64,別紙２①!$E$18:$E$64,"田",別紙２①!$O$18:$O$64,"〇"),0)</f>
        <v>0</v>
      </c>
      <c r="C110" s="1151"/>
      <c r="D110" s="1150">
        <f>ROUNDDOWN(SUMIFS(別紙２①!$F$18:$F$64,別紙２①!$E$18:$E$64,"畑",別紙２①!$O$18:$O$64,"〇"),0)</f>
        <v>0</v>
      </c>
      <c r="E110" s="1151"/>
      <c r="F110" s="1150">
        <f>ROUNDDOWN(SUMIFS(別紙２①!$F$18:$F$64,別紙２①!$E$18:$E$64,"草地",別紙２①!$O$18:$O$64,"〇"),0)</f>
        <v>0</v>
      </c>
      <c r="G110" s="1278"/>
      <c r="H110" s="1151"/>
      <c r="I110" s="1150">
        <f>ROUNDDOWN(SUMIFS(別紙２①!$F$18:$F$64,別紙２①!$E$18:$E$64,"採草放牧地",別紙２①!$O$18:$O$64,"〇"),0)</f>
        <v>0</v>
      </c>
      <c r="J110" s="1151"/>
      <c r="K110" s="1288">
        <v>5000</v>
      </c>
      <c r="L110" s="1289"/>
      <c r="M110" s="1290"/>
      <c r="N110" s="1150">
        <f>ROUNDDOWN((B110+D110+F110+I110)*K110/1000,0)</f>
        <v>0</v>
      </c>
      <c r="O110" s="1151"/>
      <c r="P110" s="1268">
        <f>IF(N110&lt;S110,N110,S110)</f>
        <v>0</v>
      </c>
      <c r="Q110" s="1269"/>
      <c r="R110" s="1269"/>
      <c r="S110" s="269">
        <v>2000000</v>
      </c>
      <c r="T110" s="268"/>
      <c r="U110" s="266"/>
      <c r="V110" s="266"/>
      <c r="W110" s="266"/>
      <c r="X110" s="50"/>
    </row>
    <row r="111" spans="1:24" s="49" customFormat="1" ht="15" customHeight="1">
      <c r="A111" s="101"/>
      <c r="B111" s="1152" t="s">
        <v>406</v>
      </c>
      <c r="C111" s="1152"/>
      <c r="D111" s="1152"/>
      <c r="E111" s="1152"/>
      <c r="F111" s="1152"/>
      <c r="G111" s="1152"/>
      <c r="H111" s="1152"/>
      <c r="I111" s="1152"/>
      <c r="J111" s="1152"/>
      <c r="K111" s="1152"/>
      <c r="L111" s="1152"/>
      <c r="M111" s="1152"/>
      <c r="N111" s="1152"/>
      <c r="O111" s="1152"/>
      <c r="P111" s="1152"/>
      <c r="Q111" s="1152"/>
      <c r="R111" s="1152"/>
      <c r="S111" s="1152"/>
      <c r="T111" s="1152"/>
      <c r="U111" s="1152"/>
      <c r="V111" s="1152"/>
      <c r="W111" s="1152"/>
      <c r="X111" s="1152"/>
    </row>
    <row r="112" spans="1:24" s="49" customFormat="1" ht="15" customHeight="1">
      <c r="A112" s="101"/>
      <c r="B112" s="1152" t="s">
        <v>424</v>
      </c>
      <c r="C112" s="1152"/>
      <c r="D112" s="1152"/>
      <c r="E112" s="1152"/>
      <c r="F112" s="1152"/>
      <c r="G112" s="1152"/>
      <c r="H112" s="1152"/>
      <c r="I112" s="1152"/>
      <c r="J112" s="1152"/>
      <c r="K112" s="1152"/>
      <c r="L112" s="1152"/>
      <c r="M112" s="1152"/>
      <c r="N112" s="1152"/>
      <c r="O112" s="1152"/>
      <c r="P112" s="1152"/>
      <c r="Q112" s="1152"/>
      <c r="R112" s="1152"/>
      <c r="S112" s="1152"/>
      <c r="T112" s="1152"/>
      <c r="U112" s="1152"/>
      <c r="V112" s="1152"/>
      <c r="W112" s="1152"/>
      <c r="X112" s="1152"/>
    </row>
    <row r="113" spans="1:24" s="49" customFormat="1" ht="18" customHeight="1">
      <c r="A113" s="101"/>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row>
    <row r="114" spans="1:24" s="49" customFormat="1" ht="18" customHeight="1">
      <c r="A114" s="101"/>
      <c r="B114" s="50"/>
      <c r="C114" s="50"/>
      <c r="D114" s="50"/>
      <c r="E114" s="50"/>
      <c r="F114" s="50"/>
      <c r="G114" s="50"/>
      <c r="H114" s="50"/>
      <c r="I114" s="50"/>
      <c r="J114" s="50"/>
      <c r="K114" s="50"/>
      <c r="L114" s="50"/>
      <c r="M114" s="50"/>
      <c r="N114" s="50"/>
      <c r="O114" s="50"/>
      <c r="P114" s="50"/>
      <c r="Q114" s="50"/>
      <c r="R114" s="50"/>
      <c r="S114" s="50"/>
      <c r="T114" s="50"/>
      <c r="U114" s="50"/>
      <c r="V114" s="50"/>
      <c r="W114" s="50"/>
      <c r="X114" s="50"/>
    </row>
    <row r="115" spans="1:24" s="49" customFormat="1" ht="18" customHeight="1">
      <c r="A115" s="101" t="s">
        <v>425</v>
      </c>
      <c r="B115" s="50"/>
      <c r="C115" s="50"/>
      <c r="D115" s="50"/>
      <c r="E115" s="50"/>
      <c r="F115" s="50"/>
      <c r="G115" s="50"/>
      <c r="H115" s="50"/>
      <c r="I115" s="50"/>
      <c r="J115" s="50"/>
      <c r="K115" s="50"/>
      <c r="L115" s="50"/>
      <c r="M115" s="50"/>
      <c r="N115" s="50"/>
      <c r="O115" s="50"/>
      <c r="P115" s="50"/>
      <c r="Q115" s="50"/>
      <c r="R115" s="50"/>
      <c r="S115" s="50"/>
      <c r="T115" s="50"/>
      <c r="U115" s="50"/>
      <c r="V115" s="50"/>
      <c r="W115" s="50"/>
      <c r="X115" s="50"/>
    </row>
    <row r="116" spans="1:24" s="49" customFormat="1" ht="18" customHeight="1">
      <c r="A116" s="50"/>
      <c r="B116" s="1123" t="s">
        <v>103</v>
      </c>
      <c r="C116" s="1124"/>
      <c r="D116" s="1124"/>
      <c r="E116" s="1124"/>
      <c r="F116" s="1124"/>
      <c r="G116" s="1124"/>
      <c r="H116" s="1124"/>
      <c r="I116" s="1124"/>
      <c r="J116" s="1124"/>
      <c r="K116" s="1124"/>
      <c r="L116" s="1124"/>
      <c r="M116" s="1124"/>
      <c r="N116" s="1124"/>
      <c r="O116" s="1124"/>
      <c r="P116" s="1124"/>
      <c r="Q116" s="1124"/>
      <c r="R116" s="1125"/>
      <c r="S116" s="261"/>
      <c r="T116" s="261"/>
      <c r="U116" s="261"/>
      <c r="V116" s="261"/>
      <c r="W116" s="261"/>
      <c r="X116" s="50"/>
    </row>
    <row r="117" spans="1:24" s="49" customFormat="1" ht="18" customHeight="1">
      <c r="A117" s="50"/>
      <c r="B117" s="1279" t="s">
        <v>398</v>
      </c>
      <c r="C117" s="1280"/>
      <c r="D117" s="1280"/>
      <c r="E117" s="1280"/>
      <c r="F117" s="1280"/>
      <c r="G117" s="1280"/>
      <c r="H117" s="1280"/>
      <c r="I117" s="1280"/>
      <c r="J117" s="1281"/>
      <c r="K117" s="1273" t="s">
        <v>410</v>
      </c>
      <c r="L117" s="1282"/>
      <c r="M117" s="1277"/>
      <c r="N117" s="1273" t="s">
        <v>400</v>
      </c>
      <c r="O117" s="1274"/>
      <c r="P117" s="1273" t="s">
        <v>423</v>
      </c>
      <c r="Q117" s="1282"/>
      <c r="R117" s="1277"/>
      <c r="S117" s="262"/>
      <c r="T117" s="263"/>
      <c r="U117" s="263"/>
      <c r="V117" s="263"/>
      <c r="W117" s="52"/>
      <c r="X117" s="50"/>
    </row>
    <row r="118" spans="1:24" s="49" customFormat="1" ht="36" customHeight="1">
      <c r="A118" s="50"/>
      <c r="B118" s="1271" t="s">
        <v>385</v>
      </c>
      <c r="C118" s="1272"/>
      <c r="D118" s="1273" t="s">
        <v>413</v>
      </c>
      <c r="E118" s="1274"/>
      <c r="F118" s="1275" t="s">
        <v>386</v>
      </c>
      <c r="G118" s="1276"/>
      <c r="H118" s="1277"/>
      <c r="I118" s="1273" t="s">
        <v>387</v>
      </c>
      <c r="J118" s="1274"/>
      <c r="K118" s="1283"/>
      <c r="L118" s="1284"/>
      <c r="M118" s="1285"/>
      <c r="N118" s="1286"/>
      <c r="O118" s="1287"/>
      <c r="P118" s="1283"/>
      <c r="Q118" s="1284"/>
      <c r="R118" s="1285"/>
      <c r="S118" s="262"/>
      <c r="T118" s="263"/>
      <c r="U118" s="52"/>
      <c r="V118" s="52"/>
      <c r="W118" s="52"/>
      <c r="X118" s="50"/>
    </row>
    <row r="119" spans="1:24" s="49" customFormat="1" ht="18" customHeight="1">
      <c r="A119" s="50"/>
      <c r="B119" s="1150">
        <f>ROUNDDOWN(SUMIFS(別紙２①!$F$18:$F$64,別紙２①!$E$18:$E$64,"田",別紙２①!$P$18:$P$64,"〇"),0)</f>
        <v>0</v>
      </c>
      <c r="C119" s="1151"/>
      <c r="D119" s="1150">
        <f>ROUNDDOWN(SUMIFS(別紙２①!$F$18:$F$64,別紙２①!$E$18:$E$64,"畑",別紙２①!$P$18:$P$64,"〇"),0)</f>
        <v>0</v>
      </c>
      <c r="E119" s="1151"/>
      <c r="F119" s="1150">
        <f>ROUNDDOWN(SUMIFS(別紙２①!$F$18:$F$64,別紙２①!$E$18:$E$64,"草地",別紙２①!$P$18:$P$64,"〇"),0)</f>
        <v>0</v>
      </c>
      <c r="G119" s="1278"/>
      <c r="H119" s="1151"/>
      <c r="I119" s="1150">
        <f>ROUNDDOWN(SUMIFS(別紙２①!$F$18:$F$64,別紙２①!$E$18:$E$64,"採草放牧地",別紙２①!$P$18:$P$64,"〇"),0)</f>
        <v>0</v>
      </c>
      <c r="J119" s="1151"/>
      <c r="K119" s="1265">
        <v>3000</v>
      </c>
      <c r="L119" s="1266"/>
      <c r="M119" s="1267"/>
      <c r="N119" s="1150">
        <f>ROUNDDOWN((B119+D119+F119+I119)*K119/1000,0)</f>
        <v>0</v>
      </c>
      <c r="O119" s="1151"/>
      <c r="P119" s="1268">
        <f>IF(N119&lt;S119,N119,S119)</f>
        <v>0</v>
      </c>
      <c r="Q119" s="1269"/>
      <c r="R119" s="1270"/>
      <c r="S119" s="269">
        <v>2000000</v>
      </c>
      <c r="T119" s="268"/>
      <c r="U119" s="266"/>
      <c r="V119" s="266"/>
      <c r="W119" s="266"/>
      <c r="X119" s="50"/>
    </row>
    <row r="120" spans="1:24" s="49" customFormat="1" ht="13.9" customHeight="1">
      <c r="A120" s="101"/>
      <c r="B120" s="1152" t="s">
        <v>406</v>
      </c>
      <c r="C120" s="1152"/>
      <c r="D120" s="1152"/>
      <c r="E120" s="1152"/>
      <c r="F120" s="1152"/>
      <c r="G120" s="1152"/>
      <c r="H120" s="1152"/>
      <c r="I120" s="1152"/>
      <c r="J120" s="1152"/>
      <c r="K120" s="1152"/>
      <c r="L120" s="1152"/>
      <c r="M120" s="1152"/>
      <c r="N120" s="1152"/>
      <c r="O120" s="1152"/>
      <c r="P120" s="1152"/>
      <c r="Q120" s="1152"/>
      <c r="R120" s="1152"/>
      <c r="S120" s="1152"/>
      <c r="T120" s="1152"/>
      <c r="U120" s="1152"/>
      <c r="V120" s="1152"/>
      <c r="W120" s="1152"/>
      <c r="X120" s="1152"/>
    </row>
    <row r="121" spans="1:24" s="49" customFormat="1" ht="13.9" customHeight="1">
      <c r="A121" s="101"/>
      <c r="B121" s="1152" t="s">
        <v>424</v>
      </c>
      <c r="C121" s="1152"/>
      <c r="D121" s="1152"/>
      <c r="E121" s="1152"/>
      <c r="F121" s="1152"/>
      <c r="G121" s="1152"/>
      <c r="H121" s="1152"/>
      <c r="I121" s="1152"/>
      <c r="J121" s="1152"/>
      <c r="K121" s="1152"/>
      <c r="L121" s="1152"/>
      <c r="M121" s="1152"/>
      <c r="N121" s="1152"/>
      <c r="O121" s="1152"/>
      <c r="P121" s="1152"/>
      <c r="Q121" s="1152"/>
      <c r="R121" s="1152"/>
      <c r="S121" s="1152"/>
      <c r="T121" s="1152"/>
      <c r="U121" s="1152"/>
      <c r="V121" s="1152"/>
      <c r="W121" s="1152"/>
      <c r="X121" s="1152"/>
    </row>
    <row r="122" spans="1:24" s="49" customFormat="1" ht="13.9" customHeight="1">
      <c r="A122" s="101"/>
      <c r="B122" s="1152"/>
      <c r="C122" s="1152"/>
      <c r="D122" s="1152"/>
      <c r="E122" s="1152"/>
      <c r="F122" s="1152"/>
      <c r="G122" s="1152"/>
      <c r="H122" s="1152"/>
      <c r="I122" s="1152"/>
      <c r="J122" s="1152"/>
      <c r="K122" s="1152"/>
      <c r="L122" s="1152"/>
      <c r="M122" s="1152"/>
      <c r="N122" s="1152"/>
      <c r="O122" s="1152"/>
      <c r="P122" s="1152"/>
      <c r="Q122" s="1152"/>
      <c r="R122" s="1152"/>
      <c r="S122" s="1152"/>
      <c r="T122" s="1152"/>
      <c r="U122" s="1152"/>
      <c r="V122" s="1152"/>
      <c r="W122" s="1152"/>
      <c r="X122" s="1152"/>
    </row>
    <row r="123" spans="1:24" s="49" customFormat="1" ht="18" customHeight="1">
      <c r="A123" s="101"/>
      <c r="B123" s="50"/>
      <c r="C123" s="50"/>
      <c r="D123" s="50"/>
      <c r="E123" s="50"/>
      <c r="F123" s="50"/>
      <c r="G123" s="50"/>
      <c r="H123" s="50"/>
      <c r="I123" s="50"/>
      <c r="J123" s="50"/>
      <c r="K123" s="50"/>
      <c r="L123" s="50"/>
      <c r="M123" s="50"/>
      <c r="N123" s="50"/>
      <c r="O123" s="50"/>
      <c r="P123" s="50"/>
      <c r="Q123" s="50"/>
      <c r="R123" s="50"/>
      <c r="S123" s="50"/>
      <c r="T123" s="50"/>
      <c r="U123" s="50"/>
      <c r="V123" s="50"/>
      <c r="W123" s="50"/>
      <c r="X123" s="50"/>
    </row>
    <row r="124" spans="1:24" s="49" customFormat="1" ht="18" customHeight="1">
      <c r="A124" s="101"/>
      <c r="B124" s="50"/>
      <c r="C124" s="50"/>
      <c r="D124" s="50"/>
      <c r="E124" s="50"/>
      <c r="F124" s="50"/>
      <c r="G124" s="50"/>
      <c r="H124" s="50"/>
      <c r="I124" s="50"/>
      <c r="J124" s="50"/>
      <c r="K124" s="50"/>
      <c r="L124" s="50"/>
      <c r="M124" s="50"/>
      <c r="N124" s="50"/>
      <c r="O124" s="50"/>
      <c r="P124" s="50"/>
      <c r="Q124" s="50"/>
      <c r="R124" s="50"/>
      <c r="S124" s="50"/>
      <c r="T124" s="50"/>
      <c r="U124" s="50"/>
      <c r="V124" s="50"/>
      <c r="W124" s="50"/>
      <c r="X124" s="50"/>
    </row>
    <row r="125" spans="1:24" s="49" customFormat="1" ht="18" customHeight="1">
      <c r="A125" s="101" t="s">
        <v>426</v>
      </c>
      <c r="B125" s="50"/>
      <c r="C125" s="50"/>
      <c r="D125" s="50"/>
      <c r="E125" s="50"/>
      <c r="F125" s="50"/>
      <c r="G125" s="50"/>
      <c r="H125" s="50"/>
      <c r="I125" s="50"/>
      <c r="J125" s="50"/>
      <c r="K125" s="50"/>
      <c r="L125" s="50"/>
      <c r="M125" s="50"/>
      <c r="N125" s="50"/>
      <c r="O125" s="50"/>
      <c r="P125" s="50"/>
      <c r="Q125" s="50"/>
      <c r="R125" s="50"/>
      <c r="S125" s="50"/>
      <c r="T125" s="50"/>
      <c r="U125" s="50"/>
      <c r="V125" s="50"/>
      <c r="W125" s="50"/>
      <c r="X125" s="50"/>
    </row>
    <row r="126" spans="1:24" s="49" customFormat="1" ht="18" customHeight="1">
      <c r="A126" s="101" t="s">
        <v>427</v>
      </c>
      <c r="B126" s="50"/>
      <c r="C126" s="50"/>
      <c r="D126" s="50"/>
      <c r="E126" s="50"/>
      <c r="F126" s="50"/>
      <c r="G126" s="50"/>
      <c r="H126" s="50"/>
      <c r="I126" s="50"/>
      <c r="J126" s="50"/>
      <c r="K126" s="50"/>
      <c r="L126" s="50"/>
      <c r="M126" s="50"/>
      <c r="N126" s="50"/>
      <c r="O126" s="50"/>
      <c r="P126" s="50"/>
      <c r="Q126" s="50"/>
      <c r="R126" s="50"/>
      <c r="S126" s="50"/>
      <c r="T126" s="50"/>
      <c r="U126" s="50"/>
      <c r="V126" s="50"/>
      <c r="W126" s="50"/>
      <c r="X126" s="50"/>
    </row>
    <row r="127" spans="1:24" s="49" customFormat="1" ht="18" customHeight="1">
      <c r="A127" s="101"/>
      <c r="B127" s="50" t="s">
        <v>428</v>
      </c>
      <c r="C127" s="50"/>
      <c r="D127" s="50"/>
      <c r="E127" s="50"/>
      <c r="F127" s="50"/>
      <c r="G127" s="50"/>
      <c r="H127" s="50"/>
      <c r="I127" s="50"/>
      <c r="J127" s="50"/>
      <c r="K127" s="50"/>
      <c r="L127" s="50"/>
      <c r="M127" s="50"/>
      <c r="N127" s="50"/>
      <c r="O127" s="50"/>
      <c r="P127" s="50"/>
      <c r="Q127" s="50"/>
      <c r="R127" s="50"/>
      <c r="S127" s="50"/>
      <c r="T127" s="50"/>
      <c r="U127" s="50"/>
      <c r="V127" s="50"/>
      <c r="W127" s="50"/>
      <c r="X127" s="50"/>
    </row>
    <row r="128" spans="1:24" s="49" customFormat="1" ht="12" customHeight="1">
      <c r="A128" s="101"/>
      <c r="B128" s="50"/>
      <c r="C128" s="50"/>
      <c r="D128" s="50"/>
      <c r="E128" s="50"/>
      <c r="F128" s="50"/>
      <c r="G128" s="50"/>
      <c r="H128" s="50"/>
      <c r="I128" s="50"/>
      <c r="J128" s="50"/>
      <c r="K128" s="50"/>
      <c r="L128" s="50"/>
      <c r="M128" s="50"/>
      <c r="N128" s="50"/>
      <c r="O128" s="50"/>
      <c r="P128" s="50"/>
      <c r="Q128" s="50"/>
      <c r="R128" s="50"/>
      <c r="S128" s="50"/>
      <c r="T128" s="50"/>
      <c r="U128" s="50"/>
      <c r="V128" s="50"/>
      <c r="W128" s="50"/>
      <c r="X128" s="50"/>
    </row>
    <row r="129" spans="1:25" s="49" customFormat="1" ht="18" customHeight="1">
      <c r="A129" s="52"/>
      <c r="B129" s="1116"/>
      <c r="C129" s="1116"/>
      <c r="D129" s="1232" t="s">
        <v>429</v>
      </c>
      <c r="E129" s="1263"/>
      <c r="F129" s="1263"/>
      <c r="G129" s="1263"/>
      <c r="H129" s="1263"/>
      <c r="I129" s="1263"/>
      <c r="J129" s="1263"/>
      <c r="K129" s="1263"/>
      <c r="L129" s="1263"/>
      <c r="M129" s="1263"/>
      <c r="N129" s="1263"/>
      <c r="O129" s="1263"/>
      <c r="P129" s="1263"/>
      <c r="Q129" s="1263"/>
      <c r="R129" s="1263"/>
      <c r="S129" s="1263"/>
      <c r="T129" s="1263"/>
      <c r="U129" s="1263"/>
      <c r="V129" s="1263"/>
      <c r="W129" s="1263"/>
      <c r="X129" s="1264"/>
      <c r="Y129" s="52"/>
    </row>
    <row r="130" spans="1:25" s="49" customFormat="1" ht="36" customHeight="1">
      <c r="A130" s="52"/>
      <c r="B130" s="1117" t="s">
        <v>139</v>
      </c>
      <c r="C130" s="1117"/>
      <c r="D130" s="1257" t="s">
        <v>430</v>
      </c>
      <c r="E130" s="1257"/>
      <c r="F130" s="1257"/>
      <c r="G130" s="1257"/>
      <c r="H130" s="1257"/>
      <c r="I130" s="1257"/>
      <c r="J130" s="1257"/>
      <c r="K130" s="1257"/>
      <c r="L130" s="1257"/>
      <c r="M130" s="1257"/>
      <c r="N130" s="1257"/>
      <c r="O130" s="1257"/>
      <c r="P130" s="1257"/>
      <c r="Q130" s="1257"/>
      <c r="R130" s="1257"/>
      <c r="S130" s="1257"/>
      <c r="T130" s="1257"/>
      <c r="U130" s="1257"/>
      <c r="V130" s="1257"/>
      <c r="W130" s="1257"/>
      <c r="X130" s="1258"/>
      <c r="Y130" s="52"/>
    </row>
    <row r="131" spans="1:25" s="49" customFormat="1" ht="36" customHeight="1">
      <c r="A131" s="52"/>
      <c r="B131" s="1117" t="s">
        <v>139</v>
      </c>
      <c r="C131" s="1117"/>
      <c r="D131" s="1257" t="s">
        <v>431</v>
      </c>
      <c r="E131" s="1257"/>
      <c r="F131" s="1257"/>
      <c r="G131" s="1257"/>
      <c r="H131" s="1257"/>
      <c r="I131" s="1257"/>
      <c r="J131" s="1257"/>
      <c r="K131" s="1257"/>
      <c r="L131" s="1257"/>
      <c r="M131" s="1257"/>
      <c r="N131" s="1257"/>
      <c r="O131" s="1257"/>
      <c r="P131" s="1257"/>
      <c r="Q131" s="1257"/>
      <c r="R131" s="1257"/>
      <c r="S131" s="1257"/>
      <c r="T131" s="1257"/>
      <c r="U131" s="1257"/>
      <c r="V131" s="1257"/>
      <c r="W131" s="1257"/>
      <c r="X131" s="1258"/>
      <c r="Y131" s="52"/>
    </row>
    <row r="132" spans="1:25" s="49" customFormat="1" ht="36" customHeight="1">
      <c r="A132" s="52"/>
      <c r="B132" s="1117"/>
      <c r="C132" s="1117"/>
      <c r="D132" s="1259" t="s">
        <v>432</v>
      </c>
      <c r="E132" s="1259"/>
      <c r="F132" s="1259"/>
      <c r="G132" s="1259"/>
      <c r="H132" s="1259"/>
      <c r="I132" s="1259"/>
      <c r="J132" s="1259"/>
      <c r="K132" s="1259"/>
      <c r="L132" s="1259"/>
      <c r="M132" s="1259"/>
      <c r="N132" s="1259"/>
      <c r="O132" s="1259"/>
      <c r="P132" s="1259"/>
      <c r="Q132" s="1259"/>
      <c r="R132" s="1259"/>
      <c r="S132" s="1259"/>
      <c r="T132" s="1259"/>
      <c r="U132" s="1259"/>
      <c r="V132" s="1259"/>
      <c r="W132" s="1259"/>
      <c r="X132" s="1250"/>
      <c r="Y132" s="52"/>
    </row>
    <row r="133" spans="1:25" s="49" customFormat="1" ht="21.75" customHeight="1">
      <c r="A133" s="52"/>
      <c r="B133" s="1117"/>
      <c r="C133" s="1117"/>
      <c r="D133" s="1235" t="s">
        <v>433</v>
      </c>
      <c r="E133" s="1255"/>
      <c r="F133" s="1255"/>
      <c r="G133" s="1255"/>
      <c r="H133" s="1255"/>
      <c r="I133" s="1255"/>
      <c r="J133" s="1255"/>
      <c r="K133" s="1255"/>
      <c r="L133" s="1255"/>
      <c r="M133" s="1255"/>
      <c r="N133" s="1255"/>
      <c r="O133" s="1255"/>
      <c r="P133" s="1255"/>
      <c r="Q133" s="1255"/>
      <c r="R133" s="1255"/>
      <c r="S133" s="1255"/>
      <c r="T133" s="1255"/>
      <c r="U133" s="1255"/>
      <c r="V133" s="1255"/>
      <c r="W133" s="1255"/>
      <c r="X133" s="1256"/>
      <c r="Y133" s="52"/>
    </row>
    <row r="134" spans="1:25" s="49" customFormat="1" ht="46.5" customHeight="1">
      <c r="A134" s="101"/>
      <c r="B134" s="1117"/>
      <c r="C134" s="1117"/>
      <c r="D134" s="1260" t="s">
        <v>434</v>
      </c>
      <c r="E134" s="1261"/>
      <c r="F134" s="1261"/>
      <c r="G134" s="1261"/>
      <c r="H134" s="1261"/>
      <c r="I134" s="1261"/>
      <c r="J134" s="1261"/>
      <c r="K134" s="1261"/>
      <c r="L134" s="1261"/>
      <c r="M134" s="1261"/>
      <c r="N134" s="1261"/>
      <c r="O134" s="1261"/>
      <c r="P134" s="1261"/>
      <c r="Q134" s="1261"/>
      <c r="R134" s="1261"/>
      <c r="S134" s="1261"/>
      <c r="T134" s="1261"/>
      <c r="U134" s="1261"/>
      <c r="V134" s="1261"/>
      <c r="W134" s="1261"/>
      <c r="X134" s="1262"/>
    </row>
    <row r="135" spans="1:25" s="49" customFormat="1" ht="18" customHeight="1">
      <c r="A135" s="101"/>
      <c r="B135" s="116" t="s">
        <v>435</v>
      </c>
      <c r="C135" s="50"/>
      <c r="D135" s="50"/>
      <c r="E135" s="50"/>
      <c r="F135" s="50"/>
      <c r="G135" s="50"/>
      <c r="H135" s="50"/>
      <c r="I135" s="50"/>
      <c r="J135" s="50"/>
      <c r="K135" s="50"/>
      <c r="L135" s="50"/>
      <c r="M135" s="50"/>
      <c r="N135" s="50"/>
      <c r="O135" s="50"/>
      <c r="P135" s="50"/>
      <c r="Q135" s="50"/>
      <c r="R135" s="50"/>
      <c r="S135" s="50"/>
      <c r="T135" s="50"/>
      <c r="U135" s="50"/>
      <c r="V135" s="50"/>
      <c r="W135" s="50"/>
      <c r="X135" s="50"/>
    </row>
    <row r="136" spans="1:25" s="49" customFormat="1" ht="37.5" customHeight="1">
      <c r="A136" s="374"/>
      <c r="B136" s="597" t="s">
        <v>436</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row>
    <row r="137" spans="1:25" s="49" customFormat="1" ht="36" customHeight="1">
      <c r="A137" s="101"/>
      <c r="B137" s="1220" t="s">
        <v>437</v>
      </c>
      <c r="C137" s="1220"/>
      <c r="D137" s="1220"/>
      <c r="E137" s="1220"/>
      <c r="F137" s="1220"/>
      <c r="G137" s="1220"/>
      <c r="H137" s="1220"/>
      <c r="I137" s="1220"/>
      <c r="J137" s="1220"/>
      <c r="K137" s="1220"/>
      <c r="L137" s="1220"/>
      <c r="M137" s="1220"/>
      <c r="N137" s="1220"/>
      <c r="O137" s="1220"/>
      <c r="P137" s="1220"/>
      <c r="Q137" s="1220"/>
      <c r="R137" s="1220"/>
      <c r="S137" s="1220"/>
      <c r="T137" s="1220"/>
      <c r="U137" s="1220"/>
      <c r="V137" s="1220"/>
      <c r="W137" s="1220"/>
      <c r="X137" s="1220"/>
    </row>
    <row r="138" spans="1:25" s="49" customFormat="1" ht="18" customHeight="1">
      <c r="A138" s="101"/>
      <c r="B138" s="1153" t="s">
        <v>438</v>
      </c>
      <c r="C138" s="1153"/>
      <c r="D138" s="1231"/>
      <c r="E138" s="1231"/>
      <c r="F138" s="1231"/>
      <c r="G138" s="1231"/>
      <c r="H138" s="1231"/>
      <c r="I138" s="1231"/>
      <c r="J138" s="1231"/>
      <c r="K138" s="1231"/>
      <c r="L138" s="1231"/>
      <c r="M138" s="1231"/>
      <c r="N138" s="1153" t="s">
        <v>439</v>
      </c>
      <c r="O138" s="1153"/>
      <c r="P138" s="1153"/>
      <c r="Q138" s="1153"/>
      <c r="R138" s="1153"/>
      <c r="S138" s="1153"/>
      <c r="T138" s="1153"/>
      <c r="U138" s="1153"/>
      <c r="V138" s="1153"/>
      <c r="W138" s="1153"/>
      <c r="X138" s="118"/>
    </row>
    <row r="139" spans="1:25" s="49" customFormat="1" ht="36" customHeight="1">
      <c r="A139" s="101"/>
      <c r="B139" s="1117" t="s">
        <v>139</v>
      </c>
      <c r="C139" s="1117"/>
      <c r="D139" s="1250" t="s">
        <v>440</v>
      </c>
      <c r="E139" s="1251"/>
      <c r="F139" s="1251"/>
      <c r="G139" s="1251"/>
      <c r="H139" s="1251"/>
      <c r="I139" s="1251"/>
      <c r="J139" s="1251"/>
      <c r="K139" s="1251"/>
      <c r="L139" s="1252"/>
      <c r="M139" s="1252"/>
      <c r="N139" s="1253"/>
      <c r="O139" s="1253"/>
      <c r="P139" s="1253"/>
      <c r="Q139" s="1253"/>
      <c r="R139" s="1253"/>
      <c r="S139" s="1253"/>
      <c r="T139" s="1253"/>
      <c r="U139" s="1253"/>
      <c r="V139" s="1253"/>
      <c r="W139" s="1253"/>
      <c r="X139" s="50"/>
    </row>
    <row r="140" spans="1:25" s="49" customFormat="1" ht="36" customHeight="1">
      <c r="A140" s="101"/>
      <c r="B140" s="1117"/>
      <c r="C140" s="1117"/>
      <c r="D140" s="1250" t="s">
        <v>441</v>
      </c>
      <c r="E140" s="1251"/>
      <c r="F140" s="1251"/>
      <c r="G140" s="1251"/>
      <c r="H140" s="1251"/>
      <c r="I140" s="1251"/>
      <c r="J140" s="1251"/>
      <c r="K140" s="1251"/>
      <c r="L140" s="1252"/>
      <c r="M140" s="1252"/>
      <c r="N140" s="1254"/>
      <c r="O140" s="1254"/>
      <c r="P140" s="1254"/>
      <c r="Q140" s="1254"/>
      <c r="R140" s="1254"/>
      <c r="S140" s="1254"/>
      <c r="T140" s="1254"/>
      <c r="U140" s="1254"/>
      <c r="V140" s="1254"/>
      <c r="W140" s="1254"/>
      <c r="X140" s="50"/>
    </row>
    <row r="141" spans="1:25" s="49" customFormat="1" ht="36" customHeight="1">
      <c r="A141" s="101"/>
      <c r="B141" s="1117"/>
      <c r="C141" s="1117"/>
      <c r="D141" s="1250" t="s">
        <v>442</v>
      </c>
      <c r="E141" s="1251"/>
      <c r="F141" s="1251"/>
      <c r="G141" s="1251"/>
      <c r="H141" s="1251"/>
      <c r="I141" s="1251"/>
      <c r="J141" s="1251"/>
      <c r="K141" s="1251"/>
      <c r="L141" s="1252"/>
      <c r="M141" s="1252"/>
      <c r="N141" s="1254"/>
      <c r="O141" s="1254"/>
      <c r="P141" s="1254"/>
      <c r="Q141" s="1254"/>
      <c r="R141" s="1254"/>
      <c r="S141" s="1254"/>
      <c r="T141" s="1254"/>
      <c r="U141" s="1254"/>
      <c r="V141" s="1254"/>
      <c r="W141" s="1254"/>
      <c r="X141" s="50"/>
    </row>
    <row r="142" spans="1:25" s="49" customFormat="1" ht="36" customHeight="1">
      <c r="A142" s="101"/>
      <c r="B142" s="1117"/>
      <c r="C142" s="1117"/>
      <c r="D142" s="1250" t="s">
        <v>443</v>
      </c>
      <c r="E142" s="1251"/>
      <c r="F142" s="1251"/>
      <c r="G142" s="1251"/>
      <c r="H142" s="1251"/>
      <c r="I142" s="1251"/>
      <c r="J142" s="1251"/>
      <c r="K142" s="1251"/>
      <c r="L142" s="1252"/>
      <c r="M142" s="1252"/>
      <c r="N142" s="1253"/>
      <c r="O142" s="1253"/>
      <c r="P142" s="1253"/>
      <c r="Q142" s="1253"/>
      <c r="R142" s="1253"/>
      <c r="S142" s="1253"/>
      <c r="T142" s="1253"/>
      <c r="U142" s="1253"/>
      <c r="V142" s="1253"/>
      <c r="W142" s="1253"/>
      <c r="X142" s="50"/>
    </row>
    <row r="143" spans="1:25" s="49" customFormat="1" ht="36" customHeight="1">
      <c r="A143" s="101"/>
      <c r="B143" s="1117"/>
      <c r="C143" s="1117"/>
      <c r="D143" s="1250" t="s">
        <v>444</v>
      </c>
      <c r="E143" s="1251"/>
      <c r="F143" s="1251"/>
      <c r="G143" s="1251"/>
      <c r="H143" s="1251"/>
      <c r="I143" s="1251"/>
      <c r="J143" s="1251"/>
      <c r="K143" s="1251"/>
      <c r="L143" s="1252"/>
      <c r="M143" s="1252"/>
      <c r="N143" s="1254"/>
      <c r="O143" s="1254"/>
      <c r="P143" s="1254"/>
      <c r="Q143" s="1254"/>
      <c r="R143" s="1254"/>
      <c r="S143" s="1254"/>
      <c r="T143" s="1254"/>
      <c r="U143" s="1254"/>
      <c r="V143" s="1254"/>
      <c r="W143" s="1254"/>
      <c r="X143" s="50"/>
    </row>
    <row r="144" spans="1:25" s="49" customFormat="1" ht="36" customHeight="1">
      <c r="A144" s="101"/>
      <c r="B144" s="1117"/>
      <c r="C144" s="1117"/>
      <c r="D144" s="1250" t="s">
        <v>445</v>
      </c>
      <c r="E144" s="1251"/>
      <c r="F144" s="1251"/>
      <c r="G144" s="1251"/>
      <c r="H144" s="1251"/>
      <c r="I144" s="1251"/>
      <c r="J144" s="1251"/>
      <c r="K144" s="1251"/>
      <c r="L144" s="1252"/>
      <c r="M144" s="1252"/>
      <c r="N144" s="1254"/>
      <c r="O144" s="1254"/>
      <c r="P144" s="1254"/>
      <c r="Q144" s="1254"/>
      <c r="R144" s="1254"/>
      <c r="S144" s="1254"/>
      <c r="T144" s="1254"/>
      <c r="U144" s="1254"/>
      <c r="V144" s="1254"/>
      <c r="W144" s="1254"/>
      <c r="X144" s="50"/>
    </row>
    <row r="145" spans="1:24" s="49" customFormat="1" ht="36" customHeight="1">
      <c r="A145" s="101"/>
      <c r="B145" s="1117"/>
      <c r="C145" s="1117"/>
      <c r="D145" s="1250" t="s">
        <v>446</v>
      </c>
      <c r="E145" s="1251"/>
      <c r="F145" s="1251"/>
      <c r="G145" s="1251"/>
      <c r="H145" s="1251"/>
      <c r="I145" s="1251"/>
      <c r="J145" s="1251"/>
      <c r="K145" s="1251"/>
      <c r="L145" s="1252"/>
      <c r="M145" s="1252"/>
      <c r="N145" s="1254"/>
      <c r="O145" s="1254"/>
      <c r="P145" s="1254"/>
      <c r="Q145" s="1254"/>
      <c r="R145" s="1254"/>
      <c r="S145" s="1254"/>
      <c r="T145" s="1254"/>
      <c r="U145" s="1254"/>
      <c r="V145" s="1254"/>
      <c r="W145" s="1254"/>
      <c r="X145" s="50"/>
    </row>
    <row r="146" spans="1:24" s="49" customFormat="1" ht="36" customHeight="1">
      <c r="A146" s="101"/>
      <c r="B146" s="1117" t="s">
        <v>139</v>
      </c>
      <c r="C146" s="1117"/>
      <c r="D146" s="1250" t="s">
        <v>447</v>
      </c>
      <c r="E146" s="1251"/>
      <c r="F146" s="1251"/>
      <c r="G146" s="1251"/>
      <c r="H146" s="1251"/>
      <c r="I146" s="1251"/>
      <c r="J146" s="1251"/>
      <c r="K146" s="1251"/>
      <c r="L146" s="1252"/>
      <c r="M146" s="1252"/>
      <c r="N146" s="1253" t="s">
        <v>448</v>
      </c>
      <c r="O146" s="1253"/>
      <c r="P146" s="1253"/>
      <c r="Q146" s="1253"/>
      <c r="R146" s="1253"/>
      <c r="S146" s="1253"/>
      <c r="T146" s="1253"/>
      <c r="U146" s="1253"/>
      <c r="V146" s="1253"/>
      <c r="W146" s="1253"/>
      <c r="X146" s="50"/>
    </row>
    <row r="147" spans="1:24" s="49" customFormat="1" ht="36" customHeight="1">
      <c r="A147" s="101"/>
      <c r="B147" s="1117"/>
      <c r="C147" s="1117"/>
      <c r="D147" s="1250" t="s">
        <v>449</v>
      </c>
      <c r="E147" s="1251"/>
      <c r="F147" s="1251"/>
      <c r="G147" s="1251"/>
      <c r="H147" s="1251"/>
      <c r="I147" s="1251"/>
      <c r="J147" s="1251"/>
      <c r="K147" s="1251"/>
      <c r="L147" s="1252"/>
      <c r="M147" s="1252"/>
      <c r="N147" s="1254"/>
      <c r="O147" s="1254"/>
      <c r="P147" s="1254"/>
      <c r="Q147" s="1254"/>
      <c r="R147" s="1254"/>
      <c r="S147" s="1254"/>
      <c r="T147" s="1254"/>
      <c r="U147" s="1254"/>
      <c r="V147" s="1254"/>
      <c r="W147" s="1254"/>
      <c r="X147" s="50"/>
    </row>
    <row r="148" spans="1:24" s="49" customFormat="1" ht="21" customHeight="1">
      <c r="A148" s="101"/>
      <c r="B148" s="1242"/>
      <c r="C148" s="1243"/>
      <c r="D148" s="1233" t="s">
        <v>450</v>
      </c>
      <c r="E148" s="1234"/>
      <c r="F148" s="1234"/>
      <c r="G148" s="1234"/>
      <c r="H148" s="1234"/>
      <c r="I148" s="1234"/>
      <c r="J148" s="1234"/>
      <c r="K148" s="1234"/>
      <c r="L148" s="1235"/>
      <c r="M148" s="1235"/>
      <c r="N148" s="1236" t="s">
        <v>451</v>
      </c>
      <c r="O148" s="1237"/>
      <c r="P148" s="1237"/>
      <c r="Q148" s="1237"/>
      <c r="R148" s="1237"/>
      <c r="S148" s="1237"/>
      <c r="T148" s="1237"/>
      <c r="U148" s="1237"/>
      <c r="V148" s="1237"/>
      <c r="W148" s="1237"/>
      <c r="X148" s="50"/>
    </row>
    <row r="149" spans="1:24" s="49" customFormat="1" ht="54" customHeight="1">
      <c r="A149" s="101"/>
      <c r="B149" s="1244"/>
      <c r="C149" s="1245"/>
      <c r="D149" s="1246" t="s">
        <v>452</v>
      </c>
      <c r="E149" s="1247"/>
      <c r="F149" s="1247"/>
      <c r="G149" s="1247"/>
      <c r="H149" s="1247"/>
      <c r="I149" s="1247"/>
      <c r="J149" s="1247"/>
      <c r="K149" s="1247"/>
      <c r="L149" s="1248"/>
      <c r="M149" s="1248"/>
      <c r="N149" s="1249"/>
      <c r="O149" s="1249"/>
      <c r="P149" s="1249"/>
      <c r="Q149" s="1249"/>
      <c r="R149" s="1249"/>
      <c r="S149" s="1249"/>
      <c r="T149" s="1249"/>
      <c r="U149" s="1249"/>
      <c r="V149" s="1249"/>
      <c r="W149" s="1249"/>
      <c r="X149" s="50"/>
    </row>
    <row r="150" spans="1:24" s="49" customFormat="1" ht="18" customHeight="1">
      <c r="A150" s="101"/>
      <c r="B150" s="116" t="s">
        <v>453</v>
      </c>
      <c r="C150" s="50"/>
      <c r="D150" s="50"/>
      <c r="E150" s="50"/>
      <c r="F150" s="50"/>
      <c r="G150" s="50"/>
      <c r="H150" s="50"/>
      <c r="I150" s="50"/>
      <c r="J150" s="50"/>
      <c r="K150" s="50"/>
      <c r="L150" s="50"/>
      <c r="M150" s="50"/>
      <c r="N150" s="50"/>
      <c r="O150" s="50"/>
      <c r="P150" s="50"/>
      <c r="Q150" s="50"/>
      <c r="R150" s="50"/>
      <c r="S150" s="50"/>
      <c r="T150" s="50"/>
      <c r="U150" s="50"/>
      <c r="V150" s="50"/>
      <c r="W150" s="50"/>
      <c r="X150" s="50"/>
    </row>
    <row r="151" spans="1:24" s="49" customFormat="1" ht="18" customHeight="1">
      <c r="A151" s="101"/>
      <c r="B151" s="50"/>
      <c r="C151" s="50"/>
      <c r="D151" s="50"/>
      <c r="E151" s="50"/>
      <c r="F151" s="50"/>
      <c r="G151" s="50"/>
      <c r="H151" s="50"/>
      <c r="I151" s="50"/>
      <c r="J151" s="50"/>
      <c r="K151" s="50"/>
      <c r="L151" s="50"/>
      <c r="M151" s="50"/>
      <c r="N151" s="50"/>
      <c r="O151" s="50"/>
      <c r="P151" s="50"/>
      <c r="Q151" s="50"/>
      <c r="R151" s="50"/>
      <c r="S151" s="50"/>
      <c r="T151" s="50"/>
      <c r="U151" s="50"/>
      <c r="V151" s="50"/>
      <c r="W151" s="50"/>
      <c r="X151" s="50"/>
    </row>
    <row r="152" spans="1:24" s="49" customFormat="1" ht="18" customHeight="1">
      <c r="A152" s="101" t="s">
        <v>454</v>
      </c>
      <c r="B152" s="50"/>
      <c r="C152" s="50"/>
      <c r="D152" s="50"/>
      <c r="E152" s="50"/>
      <c r="F152" s="50"/>
      <c r="G152" s="50"/>
      <c r="H152" s="50"/>
      <c r="I152" s="50"/>
      <c r="J152" s="50"/>
      <c r="K152" s="50"/>
      <c r="L152" s="50"/>
      <c r="M152" s="50"/>
      <c r="N152" s="50"/>
      <c r="O152" s="50"/>
      <c r="P152" s="50"/>
      <c r="Q152" s="50"/>
      <c r="R152" s="50"/>
      <c r="S152" s="50"/>
      <c r="T152" s="50"/>
      <c r="U152" s="50"/>
      <c r="V152" s="50"/>
      <c r="W152" s="50"/>
      <c r="X152" s="50"/>
    </row>
    <row r="153" spans="1:24" s="49" customFormat="1" ht="18" customHeight="1">
      <c r="A153" s="101" t="s">
        <v>455</v>
      </c>
      <c r="B153" s="50"/>
      <c r="C153" s="50"/>
      <c r="D153" s="50"/>
      <c r="E153" s="50"/>
      <c r="F153" s="50"/>
      <c r="G153" s="50"/>
      <c r="H153" s="50"/>
      <c r="I153" s="50"/>
      <c r="J153" s="50"/>
      <c r="K153" s="50"/>
      <c r="L153" s="50"/>
      <c r="M153" s="50"/>
      <c r="N153" s="50"/>
      <c r="O153" s="50"/>
      <c r="P153" s="50"/>
      <c r="Q153" s="50"/>
      <c r="R153" s="50"/>
      <c r="S153" s="50"/>
      <c r="T153" s="50"/>
      <c r="U153" s="50"/>
      <c r="V153" s="50"/>
      <c r="W153" s="50"/>
      <c r="X153" s="50"/>
    </row>
    <row r="154" spans="1:24" s="49" customFormat="1" ht="45.75" customHeight="1" thickBot="1">
      <c r="A154" s="101"/>
      <c r="B154" s="1220" t="s">
        <v>456</v>
      </c>
      <c r="C154" s="1220"/>
      <c r="D154" s="1220"/>
      <c r="E154" s="1220"/>
      <c r="F154" s="1220"/>
      <c r="G154" s="1220"/>
      <c r="H154" s="1220"/>
      <c r="I154" s="1220"/>
      <c r="J154" s="1220"/>
      <c r="K154" s="1220"/>
      <c r="L154" s="1220"/>
      <c r="M154" s="1220"/>
      <c r="N154" s="1220"/>
      <c r="O154" s="1220"/>
      <c r="P154" s="1220"/>
      <c r="Q154" s="1220"/>
      <c r="R154" s="1220"/>
      <c r="S154" s="1220"/>
      <c r="T154" s="1220"/>
      <c r="U154" s="1220"/>
      <c r="V154" s="1220"/>
      <c r="W154" s="1220"/>
      <c r="X154" s="1220"/>
    </row>
    <row r="155" spans="1:24" s="51" customFormat="1" ht="36" customHeight="1" thickBot="1">
      <c r="A155" s="1240" t="s">
        <v>2110</v>
      </c>
      <c r="B155" s="1241"/>
      <c r="C155" s="1238" t="s">
        <v>457</v>
      </c>
      <c r="D155" s="1238"/>
      <c r="E155" s="1238"/>
      <c r="F155" s="1238"/>
      <c r="G155" s="1238"/>
      <c r="H155" s="1238"/>
      <c r="I155" s="1238"/>
      <c r="J155" s="1238"/>
      <c r="K155" s="1238"/>
      <c r="L155" s="1238"/>
      <c r="M155" s="1238"/>
      <c r="N155" s="1238"/>
      <c r="O155" s="1238"/>
      <c r="P155" s="1238"/>
      <c r="Q155" s="1238"/>
      <c r="R155" s="1238"/>
      <c r="S155" s="1238"/>
      <c r="T155" s="1238"/>
      <c r="U155" s="1238"/>
      <c r="V155" s="1238"/>
      <c r="W155" s="1238"/>
      <c r="X155" s="1238"/>
    </row>
    <row r="156" spans="1:24" s="49" customFormat="1" ht="18" customHeight="1">
      <c r="A156" s="1239" t="s">
        <v>369</v>
      </c>
      <c r="B156" s="1239"/>
      <c r="C156" s="1231" t="s">
        <v>458</v>
      </c>
      <c r="D156" s="1231"/>
      <c r="E156" s="1231"/>
      <c r="F156" s="1231"/>
      <c r="G156" s="1231"/>
      <c r="H156" s="1231"/>
      <c r="I156" s="1231"/>
      <c r="J156" s="1231"/>
      <c r="K156" s="1231"/>
      <c r="L156" s="1231"/>
      <c r="M156" s="1231"/>
      <c r="N156" s="1231"/>
      <c r="O156" s="1231"/>
      <c r="P156" s="1231"/>
      <c r="Q156" s="1231"/>
      <c r="R156" s="1231"/>
      <c r="S156" s="1231"/>
      <c r="T156" s="1231"/>
      <c r="U156" s="1231"/>
      <c r="V156" s="1231"/>
      <c r="W156" s="1231"/>
      <c r="X156" s="1231"/>
    </row>
    <row r="157" spans="1:24" s="49" customFormat="1" ht="36" customHeight="1">
      <c r="A157" s="1117" t="s">
        <v>139</v>
      </c>
      <c r="B157" s="1117"/>
      <c r="C157" s="1118" t="s">
        <v>459</v>
      </c>
      <c r="D157" s="1119"/>
      <c r="E157" s="1119"/>
      <c r="F157" s="1119"/>
      <c r="G157" s="1119"/>
      <c r="H157" s="1119"/>
      <c r="I157" s="1119"/>
      <c r="J157" s="1119"/>
      <c r="K157" s="1119"/>
      <c r="L157" s="1119"/>
      <c r="M157" s="1119"/>
      <c r="N157" s="1119"/>
      <c r="O157" s="1119"/>
      <c r="P157" s="1119"/>
      <c r="Q157" s="1119"/>
      <c r="R157" s="1119"/>
      <c r="S157" s="1119"/>
      <c r="T157" s="1119"/>
      <c r="U157" s="1119"/>
      <c r="V157" s="1119"/>
      <c r="W157" s="1119"/>
      <c r="X157" s="1119"/>
    </row>
    <row r="158" spans="1:24" s="49" customFormat="1" ht="36" customHeight="1">
      <c r="A158" s="1117"/>
      <c r="B158" s="1117"/>
      <c r="C158" s="1132" t="s">
        <v>460</v>
      </c>
      <c r="D158" s="1133"/>
      <c r="E158" s="1133"/>
      <c r="F158" s="1133"/>
      <c r="G158" s="1133"/>
      <c r="H158" s="1133"/>
      <c r="I158" s="1133"/>
      <c r="J158" s="1133"/>
      <c r="K158" s="1133"/>
      <c r="L158" s="1133"/>
      <c r="M158" s="1133"/>
      <c r="N158" s="1133"/>
      <c r="O158" s="1133"/>
      <c r="P158" s="1133"/>
      <c r="Q158" s="1133"/>
      <c r="R158" s="1133"/>
      <c r="S158" s="1133"/>
      <c r="T158" s="1133"/>
      <c r="U158" s="1133"/>
      <c r="V158" s="1133"/>
      <c r="W158" s="1133"/>
      <c r="X158" s="1133"/>
    </row>
    <row r="159" spans="1:24" s="49" customFormat="1" ht="36" customHeight="1">
      <c r="A159" s="1117"/>
      <c r="B159" s="1117"/>
      <c r="C159" s="1118" t="s">
        <v>461</v>
      </c>
      <c r="D159" s="1119"/>
      <c r="E159" s="1119"/>
      <c r="F159" s="1119"/>
      <c r="G159" s="1119"/>
      <c r="H159" s="1119"/>
      <c r="I159" s="1119"/>
      <c r="J159" s="1119"/>
      <c r="K159" s="1119"/>
      <c r="L159" s="1119"/>
      <c r="M159" s="1119"/>
      <c r="N159" s="1119"/>
      <c r="O159" s="1119"/>
      <c r="P159" s="1119"/>
      <c r="Q159" s="1119"/>
      <c r="R159" s="1119"/>
      <c r="S159" s="1119"/>
      <c r="T159" s="1119"/>
      <c r="U159" s="1119"/>
      <c r="V159" s="1119"/>
      <c r="W159" s="1119"/>
      <c r="X159" s="1119"/>
    </row>
    <row r="160" spans="1:24" s="49" customFormat="1" ht="36" customHeight="1">
      <c r="A160" s="1117"/>
      <c r="B160" s="1117"/>
      <c r="C160" s="1118" t="s">
        <v>462</v>
      </c>
      <c r="D160" s="1119"/>
      <c r="E160" s="1119"/>
      <c r="F160" s="1119"/>
      <c r="G160" s="1119"/>
      <c r="H160" s="1119"/>
      <c r="I160" s="1119"/>
      <c r="J160" s="1119"/>
      <c r="K160" s="1119"/>
      <c r="L160" s="1119"/>
      <c r="M160" s="1119"/>
      <c r="N160" s="1119"/>
      <c r="O160" s="1119"/>
      <c r="P160" s="1119"/>
      <c r="Q160" s="1119"/>
      <c r="R160" s="1119"/>
      <c r="S160" s="1119"/>
      <c r="T160" s="1119"/>
      <c r="U160" s="1119"/>
      <c r="V160" s="1119"/>
      <c r="W160" s="1119"/>
      <c r="X160" s="1119"/>
    </row>
    <row r="161" spans="1:24" s="49" customFormat="1" ht="36" customHeight="1">
      <c r="A161" s="1117"/>
      <c r="B161" s="1117"/>
      <c r="C161" s="1118" t="s">
        <v>463</v>
      </c>
      <c r="D161" s="1119"/>
      <c r="E161" s="1119"/>
      <c r="F161" s="1119"/>
      <c r="G161" s="1119"/>
      <c r="H161" s="1119"/>
      <c r="I161" s="1119"/>
      <c r="J161" s="1119"/>
      <c r="K161" s="1119"/>
      <c r="L161" s="1119"/>
      <c r="M161" s="1119"/>
      <c r="N161" s="1119"/>
      <c r="O161" s="1119"/>
      <c r="P161" s="1119"/>
      <c r="Q161" s="1119"/>
      <c r="R161" s="1119"/>
      <c r="S161" s="1119"/>
      <c r="T161" s="1119"/>
      <c r="U161" s="1119"/>
      <c r="V161" s="1119"/>
      <c r="W161" s="1119"/>
      <c r="X161" s="1119"/>
    </row>
    <row r="162" spans="1:24" s="49" customFormat="1" ht="36" customHeight="1">
      <c r="A162" s="1117"/>
      <c r="B162" s="1117"/>
      <c r="C162" s="1118" t="s">
        <v>464</v>
      </c>
      <c r="D162" s="1119"/>
      <c r="E162" s="1119"/>
      <c r="F162" s="1119"/>
      <c r="G162" s="1119"/>
      <c r="H162" s="1119"/>
      <c r="I162" s="1119"/>
      <c r="J162" s="1119"/>
      <c r="K162" s="1119"/>
      <c r="L162" s="1119"/>
      <c r="M162" s="1119"/>
      <c r="N162" s="1119"/>
      <c r="O162" s="1119"/>
      <c r="P162" s="1119"/>
      <c r="Q162" s="1119"/>
      <c r="R162" s="1119"/>
      <c r="S162" s="1119"/>
      <c r="T162" s="1119"/>
      <c r="U162" s="1119"/>
      <c r="V162" s="1119"/>
      <c r="W162" s="1119"/>
      <c r="X162" s="1119"/>
    </row>
    <row r="163" spans="1:24" s="49" customFormat="1" ht="39.6" customHeight="1">
      <c r="A163" s="1117"/>
      <c r="B163" s="1117"/>
      <c r="C163" s="1118" t="s">
        <v>465</v>
      </c>
      <c r="D163" s="1119"/>
      <c r="E163" s="1119"/>
      <c r="F163" s="1119"/>
      <c r="G163" s="1119"/>
      <c r="H163" s="1119"/>
      <c r="I163" s="1119"/>
      <c r="J163" s="1119"/>
      <c r="K163" s="1119"/>
      <c r="L163" s="1119"/>
      <c r="M163" s="1119"/>
      <c r="N163" s="1119"/>
      <c r="O163" s="1119"/>
      <c r="P163" s="1119"/>
      <c r="Q163" s="1119"/>
      <c r="R163" s="1119"/>
      <c r="S163" s="1119"/>
      <c r="T163" s="1119"/>
      <c r="U163" s="1119"/>
      <c r="V163" s="1119"/>
      <c r="W163" s="1119"/>
      <c r="X163" s="1119"/>
    </row>
    <row r="164" spans="1:24" s="49" customFormat="1" ht="36" customHeight="1">
      <c r="A164" s="1117"/>
      <c r="B164" s="1117"/>
      <c r="C164" s="1118" t="s">
        <v>466</v>
      </c>
      <c r="D164" s="1119"/>
      <c r="E164" s="1119"/>
      <c r="F164" s="1119"/>
      <c r="G164" s="1119"/>
      <c r="H164" s="1119"/>
      <c r="I164" s="1119"/>
      <c r="J164" s="1119"/>
      <c r="K164" s="1119"/>
      <c r="L164" s="1119"/>
      <c r="M164" s="1119"/>
      <c r="N164" s="1119"/>
      <c r="O164" s="1119"/>
      <c r="P164" s="1119"/>
      <c r="Q164" s="1119"/>
      <c r="R164" s="1119"/>
      <c r="S164" s="1119"/>
      <c r="T164" s="1119"/>
      <c r="U164" s="1119"/>
      <c r="V164" s="1119"/>
      <c r="W164" s="1119"/>
      <c r="X164" s="1119"/>
    </row>
    <row r="165" spans="1:24" s="49" customFormat="1" ht="36" customHeight="1">
      <c r="A165" s="1117"/>
      <c r="B165" s="1117"/>
      <c r="C165" s="1132" t="s">
        <v>467</v>
      </c>
      <c r="D165" s="1133"/>
      <c r="E165" s="1133"/>
      <c r="F165" s="1133"/>
      <c r="G165" s="1133"/>
      <c r="H165" s="1133"/>
      <c r="I165" s="1133"/>
      <c r="J165" s="1133"/>
      <c r="K165" s="1133"/>
      <c r="L165" s="1133"/>
      <c r="M165" s="1133"/>
      <c r="N165" s="1133"/>
      <c r="O165" s="1133"/>
      <c r="P165" s="1133"/>
      <c r="Q165" s="1133"/>
      <c r="R165" s="1133"/>
      <c r="S165" s="1133"/>
      <c r="T165" s="1133"/>
      <c r="U165" s="1133"/>
      <c r="V165" s="1133"/>
      <c r="W165" s="1133"/>
      <c r="X165" s="1133"/>
    </row>
    <row r="166" spans="1:24" s="49" customFormat="1" ht="18" customHeight="1">
      <c r="A166" s="101"/>
      <c r="B166" s="50"/>
      <c r="C166" s="50"/>
      <c r="D166" s="50"/>
      <c r="E166" s="50"/>
      <c r="F166" s="50"/>
      <c r="G166" s="50"/>
      <c r="H166" s="50"/>
      <c r="I166" s="50"/>
      <c r="J166" s="50"/>
      <c r="K166" s="50"/>
      <c r="L166" s="50"/>
      <c r="M166" s="50"/>
      <c r="N166" s="50"/>
      <c r="O166" s="50"/>
      <c r="P166" s="50"/>
      <c r="Q166" s="50"/>
      <c r="R166" s="50"/>
      <c r="S166" s="50"/>
      <c r="T166" s="50"/>
      <c r="U166" s="50"/>
      <c r="V166" s="50"/>
      <c r="W166" s="50"/>
      <c r="X166" s="50"/>
    </row>
    <row r="167" spans="1:24" s="49" customFormat="1" ht="18" customHeight="1">
      <c r="A167" s="101" t="s">
        <v>468</v>
      </c>
      <c r="B167" s="50"/>
      <c r="C167" s="50"/>
      <c r="D167" s="50"/>
      <c r="E167" s="50"/>
      <c r="F167" s="50"/>
      <c r="G167" s="50"/>
      <c r="H167" s="50"/>
      <c r="I167" s="50"/>
      <c r="J167" s="50"/>
      <c r="K167" s="50"/>
      <c r="L167" s="50"/>
      <c r="M167" s="50"/>
      <c r="N167" s="50"/>
      <c r="O167" s="50"/>
      <c r="P167" s="50"/>
      <c r="Q167" s="50"/>
      <c r="R167" s="50"/>
      <c r="S167" s="50"/>
      <c r="T167" s="50"/>
      <c r="U167" s="50"/>
      <c r="V167" s="50"/>
      <c r="W167" s="50"/>
      <c r="X167" s="50"/>
    </row>
    <row r="168" spans="1:24" s="49" customFormat="1" ht="18" customHeight="1">
      <c r="A168" s="1191" t="s">
        <v>458</v>
      </c>
      <c r="B168" s="1191"/>
      <c r="C168" s="1191"/>
      <c r="D168" s="1191"/>
      <c r="E168" s="1191"/>
      <c r="F168" s="1191"/>
      <c r="G168" s="1191"/>
      <c r="H168" s="1191"/>
      <c r="I168" s="1191"/>
      <c r="J168" s="1191"/>
      <c r="K168" s="1191"/>
      <c r="L168" s="1191"/>
      <c r="M168" s="1191"/>
      <c r="N168" s="1191"/>
      <c r="O168" s="1191"/>
      <c r="P168" s="1191"/>
      <c r="Q168" s="1191"/>
      <c r="R168" s="1191"/>
      <c r="S168" s="1191"/>
      <c r="T168" s="1191"/>
      <c r="U168" s="1191"/>
      <c r="V168" s="1191"/>
      <c r="W168" s="1191"/>
      <c r="X168" s="1191"/>
    </row>
    <row r="169" spans="1:24" s="49" customFormat="1" ht="18" customHeight="1">
      <c r="A169" s="1425" t="s">
        <v>469</v>
      </c>
      <c r="B169" s="1425"/>
      <c r="C169" s="1425"/>
      <c r="D169" s="1386" t="s">
        <v>470</v>
      </c>
      <c r="E169" s="1387"/>
      <c r="F169" s="1387"/>
      <c r="G169" s="119"/>
      <c r="H169" s="1401" t="s">
        <v>139</v>
      </c>
      <c r="I169" s="1117"/>
      <c r="J169" s="1386" t="s">
        <v>471</v>
      </c>
      <c r="K169" s="1387"/>
      <c r="L169" s="1387"/>
      <c r="M169" s="1387"/>
      <c r="N169" s="1401" t="s">
        <v>139</v>
      </c>
      <c r="O169" s="1117"/>
      <c r="P169" s="1386" t="s">
        <v>472</v>
      </c>
      <c r="Q169" s="1387"/>
      <c r="R169" s="1387"/>
      <c r="S169" s="1402"/>
      <c r="T169" s="1402"/>
      <c r="U169" s="1402"/>
      <c r="V169" s="1402"/>
      <c r="W169" s="1402"/>
      <c r="X169" s="452" t="s">
        <v>473</v>
      </c>
    </row>
    <row r="170" spans="1:24" s="49" customFormat="1" ht="18" customHeight="1">
      <c r="A170" s="1425" t="s">
        <v>474</v>
      </c>
      <c r="B170" s="1425"/>
      <c r="C170" s="1425"/>
      <c r="D170" s="1386" t="s">
        <v>475</v>
      </c>
      <c r="E170" s="1387"/>
      <c r="F170" s="1387"/>
      <c r="G170" s="119"/>
      <c r="H170" s="1401" t="s">
        <v>139</v>
      </c>
      <c r="I170" s="1117"/>
      <c r="J170" s="1386" t="s">
        <v>471</v>
      </c>
      <c r="K170" s="1387"/>
      <c r="L170" s="1387"/>
      <c r="M170" s="1387"/>
      <c r="N170" s="1401"/>
      <c r="O170" s="1117"/>
      <c r="P170" s="1386" t="s">
        <v>472</v>
      </c>
      <c r="Q170" s="1387"/>
      <c r="R170" s="1387"/>
      <c r="S170" s="1402"/>
      <c r="T170" s="1402"/>
      <c r="U170" s="1402"/>
      <c r="V170" s="1402"/>
      <c r="W170" s="1402"/>
      <c r="X170" s="452" t="s">
        <v>473</v>
      </c>
    </row>
    <row r="171" spans="1:24" s="49" customFormat="1" ht="18" customHeight="1">
      <c r="A171" s="1425" t="s">
        <v>476</v>
      </c>
      <c r="B171" s="1425"/>
      <c r="C171" s="1425"/>
      <c r="D171" s="1253" t="s">
        <v>477</v>
      </c>
      <c r="E171" s="1253"/>
      <c r="F171" s="1253"/>
      <c r="G171" s="1253"/>
      <c r="H171" s="1253"/>
      <c r="I171" s="1253"/>
      <c r="J171" s="1253"/>
      <c r="K171" s="1253"/>
      <c r="L171" s="1253"/>
      <c r="M171" s="1253"/>
      <c r="N171" s="1253"/>
      <c r="O171" s="1253"/>
      <c r="P171" s="1253"/>
      <c r="Q171" s="1253"/>
      <c r="R171" s="1253"/>
      <c r="S171" s="1253"/>
      <c r="T171" s="1253"/>
      <c r="U171" s="1253"/>
      <c r="V171" s="1253"/>
      <c r="W171" s="1253"/>
      <c r="X171" s="1253"/>
    </row>
    <row r="172" spans="1:24" s="49" customFormat="1" ht="18" customHeight="1">
      <c r="A172" s="101"/>
      <c r="B172" s="50"/>
      <c r="C172" s="50"/>
      <c r="D172" s="50"/>
      <c r="E172" s="50"/>
      <c r="F172" s="50"/>
      <c r="G172" s="50"/>
      <c r="H172" s="50"/>
      <c r="I172" s="50"/>
      <c r="J172" s="50"/>
      <c r="K172" s="50"/>
      <c r="L172" s="50"/>
      <c r="M172" s="50"/>
      <c r="N172" s="50"/>
      <c r="O172" s="50"/>
      <c r="P172" s="50"/>
      <c r="Q172" s="50"/>
      <c r="R172" s="50"/>
      <c r="S172" s="50"/>
      <c r="T172" s="50"/>
      <c r="U172" s="50"/>
      <c r="V172" s="50"/>
      <c r="W172" s="50"/>
      <c r="X172" s="50"/>
    </row>
    <row r="173" spans="1:24" s="49" customFormat="1" ht="18" customHeight="1">
      <c r="A173" s="101"/>
      <c r="B173" s="50"/>
      <c r="C173" s="50"/>
      <c r="D173" s="50"/>
      <c r="E173" s="50"/>
      <c r="F173" s="50"/>
      <c r="G173" s="50"/>
      <c r="H173" s="50"/>
      <c r="I173" s="50"/>
      <c r="J173" s="50"/>
      <c r="K173" s="50"/>
      <c r="L173" s="50"/>
      <c r="M173" s="50"/>
      <c r="N173" s="50"/>
      <c r="O173" s="50"/>
      <c r="P173" s="50"/>
      <c r="Q173" s="50"/>
      <c r="R173" s="50"/>
      <c r="S173" s="50"/>
      <c r="T173" s="50"/>
      <c r="U173" s="50"/>
      <c r="V173" s="50"/>
      <c r="W173" s="50"/>
      <c r="X173" s="50"/>
    </row>
    <row r="174" spans="1:24" s="49" customFormat="1" ht="18" customHeight="1">
      <c r="A174" s="101" t="s">
        <v>478</v>
      </c>
      <c r="B174" s="50"/>
      <c r="C174" s="50"/>
      <c r="D174" s="50"/>
      <c r="E174" s="50"/>
      <c r="F174" s="50"/>
      <c r="G174" s="50"/>
      <c r="H174" s="50"/>
      <c r="I174" s="50"/>
      <c r="J174" s="50"/>
      <c r="K174" s="50"/>
      <c r="L174" s="50"/>
      <c r="M174" s="50"/>
      <c r="N174" s="50"/>
      <c r="O174" s="50"/>
      <c r="P174" s="50"/>
      <c r="Q174" s="50"/>
      <c r="R174" s="50"/>
      <c r="S174" s="50"/>
      <c r="T174" s="50"/>
      <c r="U174" s="50"/>
      <c r="V174" s="50"/>
      <c r="W174" s="50"/>
      <c r="X174" s="50"/>
    </row>
    <row r="175" spans="1:24" s="49" customFormat="1" ht="18" customHeight="1">
      <c r="A175" s="101"/>
      <c r="B175" s="50" t="s">
        <v>479</v>
      </c>
      <c r="C175" s="50"/>
      <c r="D175" s="50"/>
      <c r="E175" s="50"/>
      <c r="F175" s="50"/>
      <c r="G175" s="50"/>
      <c r="H175" s="50"/>
      <c r="I175" s="50"/>
      <c r="J175" s="50"/>
      <c r="K175" s="50"/>
      <c r="L175" s="50"/>
      <c r="M175" s="50"/>
      <c r="N175" s="50"/>
      <c r="O175" s="50"/>
      <c r="P175" s="50"/>
      <c r="Q175" s="50"/>
      <c r="R175" s="50"/>
      <c r="S175" s="50"/>
      <c r="T175" s="50"/>
      <c r="U175" s="50"/>
      <c r="V175" s="50"/>
      <c r="W175" s="50"/>
      <c r="X175" s="50"/>
    </row>
    <row r="176" spans="1:24" s="49" customFormat="1" ht="18" customHeight="1">
      <c r="A176" s="1116" t="s">
        <v>369</v>
      </c>
      <c r="B176" s="1116"/>
      <c r="C176" s="1231" t="s">
        <v>458</v>
      </c>
      <c r="D176" s="1231"/>
      <c r="E176" s="1231"/>
      <c r="F176" s="1231"/>
      <c r="G176" s="1231"/>
      <c r="H176" s="1231"/>
      <c r="I176" s="1231"/>
      <c r="J176" s="1231"/>
      <c r="K176" s="1231"/>
      <c r="L176" s="1231"/>
      <c r="M176" s="1231"/>
      <c r="N176" s="1231"/>
      <c r="O176" s="1231"/>
      <c r="P176" s="1231"/>
      <c r="Q176" s="1231"/>
      <c r="R176" s="1231"/>
      <c r="S176" s="1231"/>
      <c r="T176" s="1231"/>
      <c r="U176" s="1231"/>
      <c r="V176" s="1231"/>
      <c r="W176" s="1231"/>
      <c r="X176" s="1231"/>
    </row>
    <row r="177" spans="1:24" s="49" customFormat="1" ht="36" customHeight="1">
      <c r="A177" s="1117" t="s">
        <v>139</v>
      </c>
      <c r="B177" s="1117"/>
      <c r="C177" s="1118" t="s">
        <v>480</v>
      </c>
      <c r="D177" s="1119"/>
      <c r="E177" s="1119"/>
      <c r="F177" s="1119"/>
      <c r="G177" s="1119"/>
      <c r="H177" s="1119"/>
      <c r="I177" s="1119"/>
      <c r="J177" s="1119"/>
      <c r="K177" s="1119"/>
      <c r="L177" s="1119"/>
      <c r="M177" s="1119"/>
      <c r="N177" s="1119"/>
      <c r="O177" s="1119"/>
      <c r="P177" s="1119"/>
      <c r="Q177" s="1119"/>
      <c r="R177" s="1119"/>
      <c r="S177" s="1119"/>
      <c r="T177" s="1119"/>
      <c r="U177" s="1119"/>
      <c r="V177" s="1119"/>
      <c r="W177" s="1119"/>
      <c r="X177" s="1119"/>
    </row>
    <row r="178" spans="1:24" s="49" customFormat="1" ht="36" customHeight="1">
      <c r="A178" s="1117"/>
      <c r="B178" s="1117"/>
      <c r="C178" s="1132" t="s">
        <v>481</v>
      </c>
      <c r="D178" s="1133"/>
      <c r="E178" s="1133"/>
      <c r="F178" s="1133"/>
      <c r="G178" s="1133"/>
      <c r="H178" s="1133"/>
      <c r="I178" s="1133"/>
      <c r="J178" s="1133"/>
      <c r="K178" s="1133"/>
      <c r="L178" s="1133"/>
      <c r="M178" s="1133"/>
      <c r="N178" s="1133"/>
      <c r="O178" s="1133"/>
      <c r="P178" s="1133"/>
      <c r="Q178" s="1133"/>
      <c r="R178" s="1133"/>
      <c r="S178" s="1133"/>
      <c r="T178" s="1133"/>
      <c r="U178" s="1133"/>
      <c r="V178" s="1133"/>
      <c r="W178" s="1133"/>
      <c r="X178" s="1133"/>
    </row>
    <row r="179" spans="1:24" s="49" customFormat="1" ht="36" customHeight="1">
      <c r="A179" s="1117"/>
      <c r="B179" s="1117"/>
      <c r="C179" s="1132" t="s">
        <v>482</v>
      </c>
      <c r="D179" s="1133"/>
      <c r="E179" s="1133"/>
      <c r="F179" s="1133"/>
      <c r="G179" s="1133"/>
      <c r="H179" s="1133"/>
      <c r="I179" s="1133"/>
      <c r="J179" s="1133"/>
      <c r="K179" s="1133"/>
      <c r="L179" s="1133"/>
      <c r="M179" s="1133"/>
      <c r="N179" s="1133"/>
      <c r="O179" s="1133"/>
      <c r="P179" s="1133"/>
      <c r="Q179" s="1133"/>
      <c r="R179" s="1133"/>
      <c r="S179" s="1133"/>
      <c r="T179" s="1133"/>
      <c r="U179" s="1133"/>
      <c r="V179" s="1133"/>
      <c r="W179" s="1133"/>
      <c r="X179" s="1133"/>
    </row>
    <row r="180" spans="1:24" s="49" customFormat="1" ht="36" customHeight="1">
      <c r="A180" s="1117" t="s">
        <v>139</v>
      </c>
      <c r="B180" s="1117"/>
      <c r="C180" s="1132" t="s">
        <v>483</v>
      </c>
      <c r="D180" s="1133"/>
      <c r="E180" s="1133"/>
      <c r="F180" s="1133"/>
      <c r="G180" s="1133"/>
      <c r="H180" s="1133"/>
      <c r="I180" s="1133"/>
      <c r="J180" s="1133"/>
      <c r="K180" s="1133"/>
      <c r="L180" s="1133"/>
      <c r="M180" s="1133"/>
      <c r="N180" s="1133"/>
      <c r="O180" s="1133"/>
      <c r="P180" s="1133"/>
      <c r="Q180" s="1133"/>
      <c r="R180" s="1133"/>
      <c r="S180" s="1133"/>
      <c r="T180" s="1133"/>
      <c r="U180" s="1133"/>
      <c r="V180" s="1133"/>
      <c r="W180" s="1133"/>
      <c r="X180" s="1133"/>
    </row>
    <row r="181" spans="1:24" s="49" customFormat="1" ht="36" customHeight="1">
      <c r="A181" s="1117"/>
      <c r="B181" s="1117"/>
      <c r="C181" s="1132" t="s">
        <v>484</v>
      </c>
      <c r="D181" s="1133"/>
      <c r="E181" s="1133"/>
      <c r="F181" s="1133"/>
      <c r="G181" s="1133"/>
      <c r="H181" s="1133"/>
      <c r="I181" s="1133"/>
      <c r="J181" s="1133"/>
      <c r="K181" s="1133"/>
      <c r="L181" s="1133"/>
      <c r="M181" s="1133"/>
      <c r="N181" s="1133"/>
      <c r="O181" s="1133"/>
      <c r="P181" s="1133"/>
      <c r="Q181" s="1133"/>
      <c r="R181" s="1133"/>
      <c r="S181" s="1133"/>
      <c r="T181" s="1133"/>
      <c r="U181" s="1133"/>
      <c r="V181" s="1133"/>
      <c r="W181" s="1133"/>
      <c r="X181" s="1133"/>
    </row>
    <row r="182" spans="1:24" s="49" customFormat="1" ht="36" customHeight="1">
      <c r="A182" s="1117"/>
      <c r="B182" s="1117"/>
      <c r="C182" s="1132" t="s">
        <v>485</v>
      </c>
      <c r="D182" s="1133"/>
      <c r="E182" s="1133"/>
      <c r="F182" s="1133"/>
      <c r="G182" s="1133"/>
      <c r="H182" s="1133"/>
      <c r="I182" s="1133"/>
      <c r="J182" s="1133"/>
      <c r="K182" s="1133"/>
      <c r="L182" s="1133"/>
      <c r="M182" s="1133"/>
      <c r="N182" s="1133"/>
      <c r="O182" s="1133"/>
      <c r="P182" s="1133"/>
      <c r="Q182" s="1133"/>
      <c r="R182" s="1133"/>
      <c r="S182" s="1133"/>
      <c r="T182" s="1133"/>
      <c r="U182" s="1133"/>
      <c r="V182" s="1133"/>
      <c r="W182" s="1133"/>
      <c r="X182" s="1133"/>
    </row>
    <row r="183" spans="1:24" s="49" customFormat="1" ht="36" customHeight="1">
      <c r="A183" s="1117" t="s">
        <v>139</v>
      </c>
      <c r="B183" s="1117"/>
      <c r="C183" s="1132" t="s">
        <v>486</v>
      </c>
      <c r="D183" s="1133"/>
      <c r="E183" s="1133"/>
      <c r="F183" s="1133"/>
      <c r="G183" s="1133"/>
      <c r="H183" s="1133"/>
      <c r="I183" s="1133"/>
      <c r="J183" s="1133"/>
      <c r="K183" s="1133"/>
      <c r="L183" s="1133"/>
      <c r="M183" s="1133"/>
      <c r="N183" s="1133"/>
      <c r="O183" s="1133"/>
      <c r="P183" s="1133"/>
      <c r="Q183" s="1133"/>
      <c r="R183" s="1133"/>
      <c r="S183" s="1133"/>
      <c r="T183" s="1133"/>
      <c r="U183" s="1133"/>
      <c r="V183" s="1133"/>
      <c r="W183" s="1133"/>
      <c r="X183" s="1133"/>
    </row>
    <row r="184" spans="1:24" s="49" customFormat="1" ht="36" customHeight="1">
      <c r="A184" s="1117"/>
      <c r="B184" s="1117"/>
      <c r="C184" s="1132" t="s">
        <v>487</v>
      </c>
      <c r="D184" s="1133"/>
      <c r="E184" s="1133"/>
      <c r="F184" s="1133"/>
      <c r="G184" s="1133"/>
      <c r="H184" s="1133"/>
      <c r="I184" s="1133"/>
      <c r="J184" s="1133"/>
      <c r="K184" s="1133"/>
      <c r="L184" s="1133"/>
      <c r="M184" s="1133"/>
      <c r="N184" s="1133"/>
      <c r="O184" s="1133"/>
      <c r="P184" s="1133"/>
      <c r="Q184" s="1133"/>
      <c r="R184" s="1133"/>
      <c r="S184" s="1133"/>
      <c r="T184" s="1133"/>
      <c r="U184" s="1133"/>
      <c r="V184" s="1133"/>
      <c r="W184" s="1133"/>
      <c r="X184" s="1133"/>
    </row>
    <row r="185" spans="1:24" s="49" customFormat="1" ht="36" customHeight="1">
      <c r="A185" s="1117" t="s">
        <v>139</v>
      </c>
      <c r="B185" s="1117"/>
      <c r="C185" s="1132" t="s">
        <v>488</v>
      </c>
      <c r="D185" s="1133"/>
      <c r="E185" s="1133"/>
      <c r="F185" s="1133"/>
      <c r="G185" s="1133"/>
      <c r="H185" s="1133"/>
      <c r="I185" s="1133"/>
      <c r="J185" s="1133"/>
      <c r="K185" s="1133"/>
      <c r="L185" s="1133"/>
      <c r="M185" s="1133"/>
      <c r="N185" s="1133"/>
      <c r="O185" s="1133"/>
      <c r="P185" s="1133"/>
      <c r="Q185" s="1133"/>
      <c r="R185" s="1133"/>
      <c r="S185" s="1133"/>
      <c r="T185" s="1133"/>
      <c r="U185" s="1133"/>
      <c r="V185" s="1133"/>
      <c r="W185" s="1133"/>
      <c r="X185" s="1133"/>
    </row>
    <row r="186" spans="1:24" s="49" customFormat="1" ht="36" customHeight="1">
      <c r="A186" s="1117"/>
      <c r="B186" s="1117"/>
      <c r="C186" s="1399" t="s">
        <v>489</v>
      </c>
      <c r="D186" s="1400"/>
      <c r="E186" s="1400"/>
      <c r="F186" s="1400"/>
      <c r="G186" s="1400"/>
      <c r="H186" s="1400"/>
      <c r="I186" s="1400"/>
      <c r="J186" s="1400"/>
      <c r="K186" s="1400"/>
      <c r="L186" s="1400"/>
      <c r="M186" s="1400"/>
      <c r="N186" s="1400"/>
      <c r="O186" s="1400"/>
      <c r="P186" s="1400"/>
      <c r="Q186" s="1400"/>
      <c r="R186" s="1400"/>
      <c r="S186" s="1400"/>
      <c r="T186" s="1400"/>
      <c r="U186" s="1400"/>
      <c r="V186" s="1400"/>
      <c r="W186" s="1400"/>
      <c r="X186" s="1400"/>
    </row>
    <row r="187" spans="1:24" s="53" customFormat="1" ht="19.899999999999999" customHeight="1">
      <c r="A187" s="1388" t="s">
        <v>490</v>
      </c>
      <c r="B187" s="1388"/>
      <c r="C187" s="1389"/>
      <c r="D187" s="1389"/>
      <c r="E187" s="1389"/>
      <c r="F187" s="1389"/>
      <c r="G187" s="1389"/>
      <c r="H187" s="1389"/>
      <c r="I187" s="1389"/>
      <c r="J187" s="1389"/>
      <c r="K187" s="1389"/>
      <c r="L187" s="1389"/>
      <c r="M187" s="1389"/>
      <c r="N187" s="1389"/>
      <c r="O187" s="1389"/>
      <c r="P187" s="1389"/>
      <c r="Q187" s="1389"/>
      <c r="R187" s="1389"/>
      <c r="S187" s="1389"/>
      <c r="T187" s="1389"/>
      <c r="U187" s="1389"/>
      <c r="V187" s="1389"/>
      <c r="W187" s="1389"/>
      <c r="X187" s="1389"/>
    </row>
    <row r="188" spans="1:24" s="49" customFormat="1" ht="19.899999999999999" customHeight="1">
      <c r="A188" s="1388" t="s">
        <v>491</v>
      </c>
      <c r="B188" s="1388"/>
      <c r="C188" s="1388"/>
      <c r="D188" s="1388"/>
      <c r="E188" s="1388"/>
      <c r="F188" s="1388"/>
      <c r="G188" s="1388"/>
      <c r="H188" s="1388"/>
      <c r="I188" s="1388"/>
      <c r="J188" s="1388"/>
      <c r="K188" s="1388"/>
      <c r="L188" s="1388"/>
      <c r="M188" s="1388"/>
      <c r="N188" s="1388"/>
      <c r="O188" s="1388"/>
      <c r="P188" s="1388"/>
      <c r="Q188" s="1388"/>
      <c r="R188" s="1388"/>
      <c r="S188" s="1388"/>
      <c r="T188" s="1388"/>
      <c r="U188" s="1388"/>
      <c r="V188" s="1388"/>
      <c r="W188" s="1388"/>
      <c r="X188" s="1388"/>
    </row>
    <row r="189" spans="1:24" s="49" customFormat="1" ht="18" customHeight="1">
      <c r="A189" s="120"/>
      <c r="B189" s="121" t="s">
        <v>492</v>
      </c>
      <c r="C189" s="116" t="s">
        <v>493</v>
      </c>
      <c r="D189" s="116"/>
      <c r="E189" s="116"/>
      <c r="F189" s="116"/>
      <c r="G189" s="116"/>
      <c r="H189" s="116"/>
      <c r="I189" s="116"/>
      <c r="J189" s="116"/>
      <c r="K189" s="116"/>
      <c r="L189" s="116"/>
      <c r="M189" s="116"/>
      <c r="N189" s="116"/>
      <c r="O189" s="116"/>
      <c r="P189" s="116"/>
      <c r="Q189" s="116"/>
      <c r="R189" s="116"/>
      <c r="S189" s="116"/>
      <c r="T189" s="116"/>
      <c r="U189" s="116"/>
      <c r="V189" s="116"/>
      <c r="W189" s="116"/>
      <c r="X189" s="116"/>
    </row>
    <row r="190" spans="1:24" s="51" customFormat="1" ht="17.45" customHeight="1">
      <c r="A190" s="122"/>
      <c r="B190" s="123" t="s">
        <v>492</v>
      </c>
      <c r="C190" s="1160" t="s">
        <v>494</v>
      </c>
      <c r="D190" s="1160"/>
      <c r="E190" s="1160"/>
      <c r="F190" s="1160"/>
      <c r="G190" s="1160"/>
      <c r="H190" s="1160"/>
      <c r="I190" s="1160"/>
      <c r="J190" s="1160"/>
      <c r="K190" s="1160"/>
      <c r="L190" s="1160"/>
      <c r="M190" s="1160"/>
      <c r="N190" s="1160"/>
      <c r="O190" s="1160"/>
      <c r="P190" s="1160"/>
      <c r="Q190" s="1160"/>
      <c r="R190" s="1160"/>
      <c r="S190" s="1160"/>
      <c r="T190" s="1160"/>
      <c r="U190" s="1160"/>
      <c r="V190" s="1160"/>
      <c r="W190" s="1160"/>
      <c r="X190" s="1160"/>
    </row>
    <row r="191" spans="1:24" s="49" customFormat="1" ht="18" customHeight="1">
      <c r="A191" s="101"/>
      <c r="B191" s="50"/>
      <c r="C191" s="50"/>
      <c r="D191" s="50"/>
      <c r="E191" s="50"/>
      <c r="F191" s="50"/>
      <c r="G191" s="50"/>
      <c r="H191" s="50"/>
      <c r="I191" s="50"/>
      <c r="J191" s="50"/>
      <c r="K191" s="50"/>
      <c r="L191" s="50"/>
      <c r="M191" s="50"/>
      <c r="N191" s="50"/>
      <c r="O191" s="50"/>
      <c r="P191" s="50"/>
      <c r="Q191" s="50"/>
      <c r="R191" s="50"/>
      <c r="S191" s="50"/>
      <c r="T191" s="50"/>
      <c r="U191" s="50"/>
      <c r="V191" s="50"/>
      <c r="W191" s="50"/>
      <c r="X191" s="50"/>
    </row>
    <row r="192" spans="1:24" s="49" customFormat="1" ht="18" customHeight="1">
      <c r="A192" s="101"/>
      <c r="B192" s="50"/>
      <c r="C192" s="50"/>
      <c r="D192" s="50"/>
      <c r="E192" s="50"/>
      <c r="F192" s="50"/>
      <c r="G192" s="50"/>
      <c r="H192" s="50"/>
      <c r="I192" s="50"/>
      <c r="J192" s="50"/>
      <c r="K192" s="50"/>
      <c r="L192" s="50"/>
      <c r="M192" s="50"/>
      <c r="N192" s="50"/>
      <c r="O192" s="50"/>
      <c r="P192" s="50"/>
      <c r="Q192" s="50"/>
      <c r="R192" s="50"/>
      <c r="S192" s="50"/>
      <c r="T192" s="50"/>
      <c r="U192" s="50"/>
      <c r="V192" s="50"/>
      <c r="W192" s="50"/>
      <c r="X192" s="50"/>
    </row>
    <row r="193" spans="1:24" s="54" customFormat="1" ht="36" customHeight="1">
      <c r="A193" s="1382" t="s">
        <v>495</v>
      </c>
      <c r="B193" s="1382"/>
      <c r="C193" s="1382"/>
      <c r="D193" s="1382"/>
      <c r="E193" s="1382"/>
      <c r="F193" s="1382"/>
      <c r="G193" s="1382"/>
      <c r="H193" s="1382"/>
      <c r="I193" s="1382"/>
      <c r="J193" s="1382"/>
      <c r="K193" s="1382"/>
      <c r="L193" s="1382"/>
      <c r="M193" s="1382"/>
      <c r="N193" s="1382"/>
      <c r="O193" s="1382"/>
      <c r="P193" s="1382"/>
      <c r="Q193" s="1382"/>
      <c r="R193" s="1382"/>
      <c r="S193" s="1382"/>
      <c r="T193" s="1382"/>
      <c r="U193" s="1382"/>
      <c r="V193" s="1382"/>
      <c r="W193" s="1382"/>
      <c r="X193" s="1382"/>
    </row>
    <row r="194" spans="1:24" s="49" customFormat="1" ht="18" customHeight="1">
      <c r="A194" s="101"/>
      <c r="B194" s="1390" t="s">
        <v>496</v>
      </c>
      <c r="C194" s="1391"/>
      <c r="D194" s="1391"/>
      <c r="E194" s="1391"/>
      <c r="F194" s="1391"/>
      <c r="G194" s="1391"/>
      <c r="H194" s="1391"/>
      <c r="I194" s="1391"/>
      <c r="J194" s="1391"/>
      <c r="K194" s="1391"/>
      <c r="L194" s="1391"/>
      <c r="M194" s="1391"/>
      <c r="N194" s="1391"/>
      <c r="O194" s="1391"/>
      <c r="P194" s="1391"/>
      <c r="Q194" s="1391"/>
      <c r="R194" s="1391"/>
      <c r="S194" s="1391"/>
      <c r="T194" s="1391"/>
      <c r="U194" s="1391"/>
      <c r="V194" s="1391"/>
      <c r="W194" s="1392"/>
      <c r="X194" s="50"/>
    </row>
    <row r="195" spans="1:24" s="49" customFormat="1" ht="18" customHeight="1">
      <c r="A195" s="101"/>
      <c r="B195" s="1393"/>
      <c r="C195" s="1394"/>
      <c r="D195" s="1394"/>
      <c r="E195" s="1394"/>
      <c r="F195" s="1394"/>
      <c r="G195" s="1394"/>
      <c r="H195" s="1394"/>
      <c r="I195" s="1394"/>
      <c r="J195" s="1394"/>
      <c r="K195" s="1394"/>
      <c r="L195" s="1394"/>
      <c r="M195" s="1394"/>
      <c r="N195" s="1394"/>
      <c r="O195" s="1394"/>
      <c r="P195" s="1394"/>
      <c r="Q195" s="1394"/>
      <c r="R195" s="1394"/>
      <c r="S195" s="1394"/>
      <c r="T195" s="1394"/>
      <c r="U195" s="1394"/>
      <c r="V195" s="1394"/>
      <c r="W195" s="1395"/>
      <c r="X195" s="50"/>
    </row>
    <row r="196" spans="1:24" s="49" customFormat="1" ht="115.35" customHeight="1">
      <c r="A196" s="101"/>
      <c r="B196" s="1393"/>
      <c r="C196" s="1394"/>
      <c r="D196" s="1394"/>
      <c r="E196" s="1394"/>
      <c r="F196" s="1394"/>
      <c r="G196" s="1394"/>
      <c r="H196" s="1394"/>
      <c r="I196" s="1394"/>
      <c r="J196" s="1394"/>
      <c r="K196" s="1394"/>
      <c r="L196" s="1394"/>
      <c r="M196" s="1394"/>
      <c r="N196" s="1394"/>
      <c r="O196" s="1394"/>
      <c r="P196" s="1394"/>
      <c r="Q196" s="1394"/>
      <c r="R196" s="1394"/>
      <c r="S196" s="1394"/>
      <c r="T196" s="1394"/>
      <c r="U196" s="1394"/>
      <c r="V196" s="1394"/>
      <c r="W196" s="1395"/>
      <c r="X196" s="50"/>
    </row>
    <row r="197" spans="1:24" s="49" customFormat="1" ht="157.5" customHeight="1">
      <c r="A197" s="101"/>
      <c r="B197" s="1396"/>
      <c r="C197" s="1397"/>
      <c r="D197" s="1397"/>
      <c r="E197" s="1397"/>
      <c r="F197" s="1397"/>
      <c r="G197" s="1397"/>
      <c r="H197" s="1397"/>
      <c r="I197" s="1397"/>
      <c r="J197" s="1397"/>
      <c r="K197" s="1397"/>
      <c r="L197" s="1397"/>
      <c r="M197" s="1397"/>
      <c r="N197" s="1397"/>
      <c r="O197" s="1397"/>
      <c r="P197" s="1397"/>
      <c r="Q197" s="1397"/>
      <c r="R197" s="1397"/>
      <c r="S197" s="1397"/>
      <c r="T197" s="1397"/>
      <c r="U197" s="1397"/>
      <c r="V197" s="1397"/>
      <c r="W197" s="1398"/>
      <c r="X197" s="50"/>
    </row>
    <row r="198" spans="1:24" s="49" customFormat="1" ht="18" customHeight="1">
      <c r="A198" s="101"/>
      <c r="B198" s="50"/>
      <c r="C198" s="50"/>
      <c r="D198" s="50"/>
      <c r="E198" s="50"/>
      <c r="F198" s="50"/>
      <c r="G198" s="50"/>
      <c r="H198" s="50"/>
      <c r="I198" s="50"/>
      <c r="J198" s="50"/>
      <c r="K198" s="50"/>
      <c r="L198" s="50"/>
      <c r="M198" s="50"/>
      <c r="N198" s="50"/>
      <c r="O198" s="50"/>
      <c r="P198" s="50"/>
      <c r="Q198" s="50"/>
      <c r="R198" s="50"/>
      <c r="S198" s="50"/>
      <c r="T198" s="50"/>
      <c r="U198" s="50"/>
      <c r="V198" s="50"/>
      <c r="W198" s="50"/>
      <c r="X198" s="50"/>
    </row>
    <row r="199" spans="1:24" s="49" customFormat="1" ht="18" customHeight="1">
      <c r="A199" s="101" t="s">
        <v>497</v>
      </c>
      <c r="B199" s="50"/>
      <c r="C199" s="50"/>
      <c r="D199" s="50"/>
      <c r="E199" s="50"/>
      <c r="F199" s="50"/>
      <c r="G199" s="50"/>
      <c r="H199" s="50"/>
      <c r="I199" s="50"/>
      <c r="J199" s="50"/>
      <c r="K199" s="50"/>
      <c r="L199" s="50"/>
      <c r="M199" s="50"/>
      <c r="N199" s="50"/>
      <c r="O199" s="50"/>
      <c r="P199" s="50"/>
      <c r="Q199" s="50"/>
      <c r="R199" s="50"/>
      <c r="S199" s="50"/>
      <c r="T199" s="50"/>
      <c r="U199" s="50"/>
      <c r="V199" s="50"/>
      <c r="W199" s="50"/>
      <c r="X199" s="50"/>
    </row>
    <row r="200" spans="1:24" s="49" customFormat="1" ht="18" customHeight="1">
      <c r="A200" s="1130" t="s">
        <v>498</v>
      </c>
      <c r="B200" s="1130"/>
      <c r="C200" s="1130"/>
      <c r="D200" s="1130"/>
      <c r="E200" s="1130"/>
      <c r="F200" s="1130"/>
      <c r="G200" s="377"/>
      <c r="H200" s="1131" t="s">
        <v>499</v>
      </c>
      <c r="I200" s="1131"/>
      <c r="J200" s="1131"/>
      <c r="K200" s="1130" t="s">
        <v>500</v>
      </c>
      <c r="L200" s="1130"/>
      <c r="M200" s="1130"/>
      <c r="N200" s="1130"/>
      <c r="O200" s="1130"/>
      <c r="P200" s="377"/>
      <c r="Q200" s="377"/>
      <c r="R200" s="377"/>
      <c r="S200" s="377"/>
      <c r="T200" s="377"/>
      <c r="U200" s="377"/>
      <c r="V200" s="377"/>
      <c r="W200" s="377"/>
      <c r="X200" s="50"/>
    </row>
    <row r="201" spans="1:24" s="49" customFormat="1" ht="13.9" customHeight="1">
      <c r="A201" s="101"/>
      <c r="B201" s="50"/>
      <c r="C201" s="50"/>
      <c r="D201" s="50"/>
      <c r="E201" s="50"/>
      <c r="F201" s="50"/>
      <c r="G201" s="50"/>
      <c r="H201" s="50"/>
      <c r="I201" s="50"/>
      <c r="J201" s="50"/>
      <c r="K201" s="50"/>
      <c r="L201" s="50"/>
      <c r="M201" s="50"/>
      <c r="N201" s="50"/>
      <c r="O201" s="50"/>
      <c r="P201" s="50"/>
      <c r="Q201" s="50"/>
      <c r="R201" s="50"/>
      <c r="S201" s="50"/>
      <c r="T201" s="50"/>
      <c r="U201" s="50"/>
      <c r="V201" s="50"/>
      <c r="W201" s="50"/>
      <c r="X201" s="50"/>
    </row>
    <row r="202" spans="1:24" s="49" customFormat="1" ht="18" customHeight="1">
      <c r="A202" s="101" t="s">
        <v>501</v>
      </c>
      <c r="B202" s="50"/>
      <c r="C202" s="50"/>
      <c r="D202" s="50"/>
      <c r="E202" s="50"/>
      <c r="F202" s="50"/>
      <c r="G202" s="50"/>
      <c r="H202" s="50"/>
      <c r="I202" s="50"/>
      <c r="J202" s="50"/>
      <c r="K202" s="50"/>
      <c r="L202" s="50"/>
      <c r="M202" s="50"/>
      <c r="N202" s="50"/>
      <c r="O202" s="50"/>
      <c r="P202" s="50"/>
      <c r="Q202" s="50"/>
      <c r="R202" s="50"/>
      <c r="S202" s="50"/>
      <c r="T202" s="50"/>
      <c r="U202" s="50"/>
      <c r="V202" s="50"/>
      <c r="W202" s="50"/>
      <c r="X202" s="50"/>
    </row>
    <row r="203" spans="1:24" s="49" customFormat="1" ht="10.15" customHeight="1">
      <c r="A203" s="101"/>
      <c r="B203" s="50"/>
      <c r="C203" s="50"/>
      <c r="D203" s="50"/>
      <c r="E203" s="50"/>
      <c r="F203" s="50"/>
      <c r="G203" s="50"/>
      <c r="H203" s="50"/>
      <c r="I203" s="50"/>
      <c r="J203" s="50"/>
      <c r="K203" s="50"/>
      <c r="L203" s="50"/>
      <c r="M203" s="50"/>
      <c r="N203" s="50"/>
      <c r="O203" s="50"/>
      <c r="P203" s="50"/>
      <c r="Q203" s="50"/>
      <c r="R203" s="50"/>
      <c r="S203" s="50"/>
      <c r="T203" s="50"/>
      <c r="U203" s="50"/>
      <c r="V203" s="50"/>
      <c r="W203" s="50"/>
      <c r="X203" s="50"/>
    </row>
    <row r="204" spans="1:24" s="49" customFormat="1" ht="18" customHeight="1">
      <c r="A204" s="1191"/>
      <c r="B204" s="1191"/>
      <c r="C204" s="1231" t="s">
        <v>502</v>
      </c>
      <c r="D204" s="1231"/>
      <c r="E204" s="1231"/>
      <c r="F204" s="1231"/>
      <c r="G204" s="1231"/>
      <c r="H204" s="1231"/>
      <c r="I204" s="1231"/>
      <c r="J204" s="1153" t="s">
        <v>503</v>
      </c>
      <c r="K204" s="1153"/>
      <c r="L204" s="1153"/>
      <c r="M204" s="1153"/>
      <c r="N204" s="1153"/>
      <c r="O204" s="1153"/>
      <c r="P204" s="1153"/>
      <c r="Q204" s="115"/>
      <c r="R204" s="1232" t="s">
        <v>504</v>
      </c>
      <c r="S204" s="1139"/>
      <c r="T204" s="1139"/>
      <c r="U204" s="1139"/>
      <c r="V204" s="1139"/>
      <c r="W204" s="1139"/>
      <c r="X204" s="1135"/>
    </row>
    <row r="205" spans="1:24" s="49" customFormat="1" ht="20.25" customHeight="1">
      <c r="A205" s="1230" t="s">
        <v>505</v>
      </c>
      <c r="B205" s="1230"/>
      <c r="C205" s="1101" t="s">
        <v>506</v>
      </c>
      <c r="D205" s="1102"/>
      <c r="E205" s="1102"/>
      <c r="F205" s="1102"/>
      <c r="G205" s="1102"/>
      <c r="H205" s="1102"/>
      <c r="I205" s="1103"/>
      <c r="J205" s="1113" t="s">
        <v>507</v>
      </c>
      <c r="K205" s="1113"/>
      <c r="L205" s="1113"/>
      <c r="M205" s="1113"/>
      <c r="N205" s="1113"/>
      <c r="O205" s="1113"/>
      <c r="P205" s="1113"/>
      <c r="Q205" s="335"/>
      <c r="R205" s="1110">
        <v>30000</v>
      </c>
      <c r="S205" s="1111"/>
      <c r="T205" s="1111"/>
      <c r="U205" s="1111"/>
      <c r="V205" s="1111"/>
      <c r="W205" s="1111"/>
      <c r="X205" s="1112"/>
    </row>
    <row r="206" spans="1:24" s="49" customFormat="1" ht="20.25" customHeight="1">
      <c r="A206" s="1230"/>
      <c r="B206" s="1230"/>
      <c r="C206" s="1107"/>
      <c r="D206" s="1108"/>
      <c r="E206" s="1108"/>
      <c r="F206" s="1108"/>
      <c r="G206" s="1108"/>
      <c r="H206" s="1108"/>
      <c r="I206" s="1109"/>
      <c r="J206" s="1126" t="s">
        <v>508</v>
      </c>
      <c r="K206" s="1127"/>
      <c r="L206" s="1127"/>
      <c r="M206" s="1127"/>
      <c r="N206" s="1127"/>
      <c r="O206" s="1127"/>
      <c r="P206" s="1128"/>
      <c r="Q206" s="335"/>
      <c r="R206" s="1110">
        <v>1000</v>
      </c>
      <c r="S206" s="1111"/>
      <c r="T206" s="1111"/>
      <c r="U206" s="1111"/>
      <c r="V206" s="1111"/>
      <c r="W206" s="1111"/>
      <c r="X206" s="1112"/>
    </row>
    <row r="207" spans="1:24" s="49" customFormat="1" ht="20.25" customHeight="1">
      <c r="A207" s="1230"/>
      <c r="B207" s="1230"/>
      <c r="C207" s="1101" t="s">
        <v>509</v>
      </c>
      <c r="D207" s="1102"/>
      <c r="E207" s="1102"/>
      <c r="F207" s="1102"/>
      <c r="G207" s="1102"/>
      <c r="H207" s="1102"/>
      <c r="I207" s="1103"/>
      <c r="J207" s="1113" t="s">
        <v>510</v>
      </c>
      <c r="K207" s="1113"/>
      <c r="L207" s="1113"/>
      <c r="M207" s="1113"/>
      <c r="N207" s="1113"/>
      <c r="O207" s="1113"/>
      <c r="P207" s="1113"/>
      <c r="Q207" s="335"/>
      <c r="R207" s="1110">
        <v>5000</v>
      </c>
      <c r="S207" s="1111"/>
      <c r="T207" s="1111"/>
      <c r="U207" s="1111"/>
      <c r="V207" s="1111"/>
      <c r="W207" s="1111"/>
      <c r="X207" s="1112"/>
    </row>
    <row r="208" spans="1:24" s="49" customFormat="1" ht="20.25" customHeight="1">
      <c r="A208" s="1230"/>
      <c r="B208" s="1230"/>
      <c r="C208" s="1104"/>
      <c r="D208" s="1105"/>
      <c r="E208" s="1105"/>
      <c r="F208" s="1105"/>
      <c r="G208" s="1105"/>
      <c r="H208" s="1105"/>
      <c r="I208" s="1106"/>
      <c r="J208" s="1113" t="s">
        <v>511</v>
      </c>
      <c r="K208" s="1113"/>
      <c r="L208" s="1113"/>
      <c r="M208" s="1113"/>
      <c r="N208" s="1113"/>
      <c r="O208" s="1113"/>
      <c r="P208" s="1113"/>
      <c r="Q208" s="335"/>
      <c r="R208" s="1110">
        <v>5000</v>
      </c>
      <c r="S208" s="1111"/>
      <c r="T208" s="1111"/>
      <c r="U208" s="1111"/>
      <c r="V208" s="1111"/>
      <c r="W208" s="1111"/>
      <c r="X208" s="1112"/>
    </row>
    <row r="209" spans="1:24" s="49" customFormat="1" ht="20.25" customHeight="1">
      <c r="A209" s="1230"/>
      <c r="B209" s="1230"/>
      <c r="C209" s="1104"/>
      <c r="D209" s="1105"/>
      <c r="E209" s="1105"/>
      <c r="F209" s="1105"/>
      <c r="G209" s="1105"/>
      <c r="H209" s="1105"/>
      <c r="I209" s="1106"/>
      <c r="J209" s="1113" t="s">
        <v>512</v>
      </c>
      <c r="K209" s="1113"/>
      <c r="L209" s="1113"/>
      <c r="M209" s="1113"/>
      <c r="N209" s="1113"/>
      <c r="O209" s="1113"/>
      <c r="P209" s="1113"/>
      <c r="Q209" s="335"/>
      <c r="R209" s="1110">
        <v>10000</v>
      </c>
      <c r="S209" s="1111"/>
      <c r="T209" s="1111"/>
      <c r="U209" s="1111"/>
      <c r="V209" s="1111"/>
      <c r="W209" s="1111"/>
      <c r="X209" s="1112"/>
    </row>
    <row r="210" spans="1:24" s="49" customFormat="1" ht="20.25" customHeight="1">
      <c r="A210" s="1230"/>
      <c r="B210" s="1230"/>
      <c r="C210" s="1107"/>
      <c r="D210" s="1108"/>
      <c r="E210" s="1108"/>
      <c r="F210" s="1108"/>
      <c r="G210" s="1108"/>
      <c r="H210" s="1108"/>
      <c r="I210" s="1109"/>
      <c r="J210" s="1113" t="s">
        <v>513</v>
      </c>
      <c r="K210" s="1113"/>
      <c r="L210" s="1113"/>
      <c r="M210" s="1113"/>
      <c r="N210" s="1113"/>
      <c r="O210" s="1113"/>
      <c r="P210" s="1113"/>
      <c r="Q210" s="335"/>
      <c r="R210" s="1110">
        <v>2000</v>
      </c>
      <c r="S210" s="1111"/>
      <c r="T210" s="1111"/>
      <c r="U210" s="1111"/>
      <c r="V210" s="1111"/>
      <c r="W210" s="1111"/>
      <c r="X210" s="1112"/>
    </row>
    <row r="211" spans="1:24" s="49" customFormat="1" ht="20.25" customHeight="1">
      <c r="A211" s="1230"/>
      <c r="B211" s="1230"/>
      <c r="C211" s="1101" t="s">
        <v>514</v>
      </c>
      <c r="D211" s="1102"/>
      <c r="E211" s="1102"/>
      <c r="F211" s="1102"/>
      <c r="G211" s="1102"/>
      <c r="H211" s="1102"/>
      <c r="I211" s="1103"/>
      <c r="J211" s="1113" t="s">
        <v>515</v>
      </c>
      <c r="K211" s="1113"/>
      <c r="L211" s="1113"/>
      <c r="M211" s="1113"/>
      <c r="N211" s="1113"/>
      <c r="O211" s="1113"/>
      <c r="P211" s="1113"/>
      <c r="Q211" s="335"/>
      <c r="R211" s="1110">
        <v>10000</v>
      </c>
      <c r="S211" s="1111"/>
      <c r="T211" s="1111"/>
      <c r="U211" s="1111"/>
      <c r="V211" s="1111"/>
      <c r="W211" s="1111"/>
      <c r="X211" s="1112"/>
    </row>
    <row r="212" spans="1:24" s="49" customFormat="1" ht="20.25" customHeight="1">
      <c r="A212" s="1230"/>
      <c r="B212" s="1230"/>
      <c r="C212" s="1104"/>
      <c r="D212" s="1105"/>
      <c r="E212" s="1105"/>
      <c r="F212" s="1105"/>
      <c r="G212" s="1105"/>
      <c r="H212" s="1105"/>
      <c r="I212" s="1106"/>
      <c r="J212" s="1113" t="s">
        <v>516</v>
      </c>
      <c r="K212" s="1113"/>
      <c r="L212" s="1113"/>
      <c r="M212" s="1113"/>
      <c r="N212" s="1113"/>
      <c r="O212" s="1113"/>
      <c r="P212" s="1113"/>
      <c r="Q212" s="335"/>
      <c r="R212" s="1110">
        <v>10000</v>
      </c>
      <c r="S212" s="1111"/>
      <c r="T212" s="1111"/>
      <c r="U212" s="1111"/>
      <c r="V212" s="1111"/>
      <c r="W212" s="1111"/>
      <c r="X212" s="1112"/>
    </row>
    <row r="213" spans="1:24" s="49" customFormat="1" ht="20.25" customHeight="1">
      <c r="A213" s="1230"/>
      <c r="B213" s="1230"/>
      <c r="C213" s="1104"/>
      <c r="D213" s="1105"/>
      <c r="E213" s="1105"/>
      <c r="F213" s="1105"/>
      <c r="G213" s="1105"/>
      <c r="H213" s="1105"/>
      <c r="I213" s="1106"/>
      <c r="J213" s="1113" t="s">
        <v>517</v>
      </c>
      <c r="K213" s="1113"/>
      <c r="L213" s="1113"/>
      <c r="M213" s="1113"/>
      <c r="N213" s="1113"/>
      <c r="O213" s="1113"/>
      <c r="P213" s="1113"/>
      <c r="Q213" s="335"/>
      <c r="R213" s="1110">
        <v>10000</v>
      </c>
      <c r="S213" s="1111"/>
      <c r="T213" s="1111"/>
      <c r="U213" s="1111"/>
      <c r="V213" s="1111"/>
      <c r="W213" s="1111"/>
      <c r="X213" s="1112"/>
    </row>
    <row r="214" spans="1:24" s="49" customFormat="1" ht="20.25" customHeight="1">
      <c r="A214" s="1230"/>
      <c r="B214" s="1230"/>
      <c r="C214" s="1107"/>
      <c r="D214" s="1108"/>
      <c r="E214" s="1108"/>
      <c r="F214" s="1108"/>
      <c r="G214" s="1108"/>
      <c r="H214" s="1108"/>
      <c r="I214" s="1109"/>
      <c r="J214" s="1113" t="s">
        <v>518</v>
      </c>
      <c r="K214" s="1113"/>
      <c r="L214" s="1113"/>
      <c r="M214" s="1113"/>
      <c r="N214" s="1113"/>
      <c r="O214" s="1113"/>
      <c r="P214" s="1113"/>
      <c r="Q214" s="335"/>
      <c r="R214" s="1110">
        <v>10000</v>
      </c>
      <c r="S214" s="1111"/>
      <c r="T214" s="1111"/>
      <c r="U214" s="1111"/>
      <c r="V214" s="1111"/>
      <c r="W214" s="1111"/>
      <c r="X214" s="1112"/>
    </row>
    <row r="215" spans="1:24" s="49" customFormat="1" ht="20.25" customHeight="1">
      <c r="A215" s="1230"/>
      <c r="B215" s="1230"/>
      <c r="C215" s="1101" t="s">
        <v>519</v>
      </c>
      <c r="D215" s="1102"/>
      <c r="E215" s="1102"/>
      <c r="F215" s="1102"/>
      <c r="G215" s="1102"/>
      <c r="H215" s="1102"/>
      <c r="I215" s="1103"/>
      <c r="J215" s="1113" t="s">
        <v>520</v>
      </c>
      <c r="K215" s="1113"/>
      <c r="L215" s="1113"/>
      <c r="M215" s="1113"/>
      <c r="N215" s="1113"/>
      <c r="O215" s="1113"/>
      <c r="P215" s="1113"/>
      <c r="Q215" s="335"/>
      <c r="R215" s="1110">
        <v>5000</v>
      </c>
      <c r="S215" s="1111"/>
      <c r="T215" s="1111"/>
      <c r="U215" s="1111"/>
      <c r="V215" s="1111"/>
      <c r="W215" s="1111"/>
      <c r="X215" s="1112"/>
    </row>
    <row r="216" spans="1:24" s="49" customFormat="1" ht="20.25" customHeight="1">
      <c r="A216" s="1230"/>
      <c r="B216" s="1230"/>
      <c r="C216" s="1104"/>
      <c r="D216" s="1105"/>
      <c r="E216" s="1105"/>
      <c r="F216" s="1105"/>
      <c r="G216" s="1105"/>
      <c r="H216" s="1105"/>
      <c r="I216" s="1106"/>
      <c r="J216" s="1113" t="s">
        <v>521</v>
      </c>
      <c r="K216" s="1113"/>
      <c r="L216" s="1113"/>
      <c r="M216" s="1113"/>
      <c r="N216" s="1113"/>
      <c r="O216" s="1113"/>
      <c r="P216" s="1113"/>
      <c r="Q216" s="335"/>
      <c r="R216" s="1110">
        <v>5000</v>
      </c>
      <c r="S216" s="1111"/>
      <c r="T216" s="1111"/>
      <c r="U216" s="1111"/>
      <c r="V216" s="1111"/>
      <c r="W216" s="1111"/>
      <c r="X216" s="1112"/>
    </row>
    <row r="217" spans="1:24" s="49" customFormat="1" ht="20.25" customHeight="1">
      <c r="A217" s="1230"/>
      <c r="B217" s="1230"/>
      <c r="C217" s="1104"/>
      <c r="D217" s="1105"/>
      <c r="E217" s="1105"/>
      <c r="F217" s="1105"/>
      <c r="G217" s="1105"/>
      <c r="H217" s="1105"/>
      <c r="I217" s="1106"/>
      <c r="J217" s="1113" t="s">
        <v>522</v>
      </c>
      <c r="K217" s="1113"/>
      <c r="L217" s="1113"/>
      <c r="M217" s="1113"/>
      <c r="N217" s="1113"/>
      <c r="O217" s="1113"/>
      <c r="P217" s="1113"/>
      <c r="Q217" s="335"/>
      <c r="R217" s="1110">
        <v>3000</v>
      </c>
      <c r="S217" s="1111"/>
      <c r="T217" s="1111"/>
      <c r="U217" s="1111"/>
      <c r="V217" s="1111"/>
      <c r="W217" s="1111"/>
      <c r="X217" s="1112"/>
    </row>
    <row r="218" spans="1:24" s="49" customFormat="1" ht="20.25" customHeight="1">
      <c r="A218" s="1230"/>
      <c r="B218" s="1230"/>
      <c r="C218" s="1107"/>
      <c r="D218" s="1108"/>
      <c r="E218" s="1108"/>
      <c r="F218" s="1108"/>
      <c r="G218" s="1108"/>
      <c r="H218" s="1108"/>
      <c r="I218" s="1109"/>
      <c r="J218" s="1113" t="s">
        <v>523</v>
      </c>
      <c r="K218" s="1113"/>
      <c r="L218" s="1113"/>
      <c r="M218" s="1113"/>
      <c r="N218" s="1113"/>
      <c r="O218" s="1113"/>
      <c r="P218" s="1113"/>
      <c r="Q218" s="335"/>
      <c r="R218" s="1110">
        <v>10000</v>
      </c>
      <c r="S218" s="1111"/>
      <c r="T218" s="1111"/>
      <c r="U218" s="1111"/>
      <c r="V218" s="1111"/>
      <c r="W218" s="1111"/>
      <c r="X218" s="1112"/>
    </row>
    <row r="219" spans="1:24" s="49" customFormat="1" ht="20.25" customHeight="1">
      <c r="A219" s="1230"/>
      <c r="B219" s="1230"/>
      <c r="C219" s="1119" t="s">
        <v>524</v>
      </c>
      <c r="D219" s="1119"/>
      <c r="E219" s="1119"/>
      <c r="F219" s="1119"/>
      <c r="G219" s="1119"/>
      <c r="H219" s="1119"/>
      <c r="I219" s="1226"/>
      <c r="J219" s="1113" t="s">
        <v>525</v>
      </c>
      <c r="K219" s="1113"/>
      <c r="L219" s="1113"/>
      <c r="M219" s="1113"/>
      <c r="N219" s="1113"/>
      <c r="O219" s="1113"/>
      <c r="P219" s="1113"/>
      <c r="Q219" s="335"/>
      <c r="R219" s="1110">
        <v>100000</v>
      </c>
      <c r="S219" s="1111"/>
      <c r="T219" s="1111"/>
      <c r="U219" s="1111"/>
      <c r="V219" s="1111"/>
      <c r="W219" s="1111"/>
      <c r="X219" s="1112"/>
    </row>
    <row r="220" spans="1:24" s="49" customFormat="1" ht="18.600000000000001" customHeight="1">
      <c r="A220" s="1228"/>
      <c r="B220" s="1229"/>
      <c r="C220" s="1229"/>
      <c r="D220" s="1229"/>
      <c r="E220" s="1229"/>
      <c r="F220" s="1229"/>
      <c r="G220" s="1229"/>
      <c r="H220" s="1229"/>
      <c r="I220" s="1229"/>
      <c r="J220" s="1229"/>
      <c r="K220" s="1229"/>
      <c r="L220" s="1229"/>
      <c r="M220" s="1229"/>
      <c r="N220" s="1229"/>
      <c r="O220" s="1229"/>
      <c r="P220" s="1229"/>
      <c r="Q220" s="1229"/>
      <c r="R220" s="1229"/>
      <c r="S220" s="1229"/>
      <c r="T220" s="1229"/>
      <c r="U220" s="1229"/>
      <c r="V220" s="1229"/>
      <c r="W220" s="1229"/>
      <c r="X220" s="1229"/>
    </row>
    <row r="221" spans="1:24" s="49" customFormat="1" ht="18" customHeight="1">
      <c r="A221" s="101" t="s">
        <v>526</v>
      </c>
      <c r="B221" s="50"/>
      <c r="C221" s="50"/>
      <c r="D221" s="50"/>
      <c r="E221" s="50"/>
      <c r="F221" s="50"/>
      <c r="G221" s="50"/>
      <c r="H221" s="50"/>
      <c r="I221" s="50"/>
      <c r="J221" s="50"/>
      <c r="K221" s="50"/>
      <c r="L221" s="50"/>
      <c r="M221" s="50"/>
      <c r="N221" s="50"/>
      <c r="O221" s="50"/>
      <c r="P221" s="50"/>
      <c r="Q221" s="50"/>
      <c r="R221" s="50"/>
      <c r="S221" s="50"/>
      <c r="T221" s="50"/>
      <c r="U221" s="50"/>
      <c r="V221" s="50"/>
      <c r="W221" s="50"/>
      <c r="X221" s="50"/>
    </row>
    <row r="222" spans="1:24" s="49" customFormat="1" ht="18" customHeight="1">
      <c r="A222" s="101" t="s">
        <v>527</v>
      </c>
      <c r="B222" s="50"/>
      <c r="C222" s="50"/>
      <c r="D222" s="50"/>
      <c r="E222" s="50"/>
      <c r="F222" s="50"/>
      <c r="G222" s="50"/>
      <c r="H222" s="50"/>
      <c r="I222" s="50"/>
      <c r="J222" s="50"/>
      <c r="K222" s="50"/>
      <c r="L222" s="50"/>
      <c r="M222" s="50"/>
      <c r="N222" s="50"/>
      <c r="O222" s="50"/>
      <c r="P222" s="50"/>
      <c r="Q222" s="50"/>
      <c r="R222" s="50"/>
      <c r="S222" s="50"/>
      <c r="T222" s="50"/>
      <c r="U222" s="50"/>
      <c r="V222" s="50"/>
      <c r="W222" s="50"/>
      <c r="X222" s="50"/>
    </row>
    <row r="223" spans="1:24" s="49" customFormat="1" ht="18" customHeight="1">
      <c r="A223" s="101" t="s">
        <v>528</v>
      </c>
      <c r="B223" s="50" t="s">
        <v>529</v>
      </c>
      <c r="C223" s="50"/>
      <c r="D223" s="50"/>
      <c r="E223" s="50"/>
      <c r="F223" s="50"/>
      <c r="G223" s="50"/>
      <c r="H223" s="50"/>
      <c r="I223" s="50"/>
      <c r="J223" s="50"/>
      <c r="K223" s="50"/>
      <c r="L223" s="50"/>
      <c r="M223" s="50"/>
      <c r="N223" s="50"/>
      <c r="O223" s="50"/>
      <c r="P223" s="50"/>
      <c r="Q223" s="50"/>
      <c r="R223" s="50"/>
      <c r="S223" s="50"/>
      <c r="T223" s="50"/>
      <c r="U223" s="50"/>
      <c r="V223" s="50"/>
      <c r="W223" s="50"/>
      <c r="X223" s="50"/>
    </row>
    <row r="224" spans="1:24" s="49" customFormat="1" ht="18" customHeight="1">
      <c r="A224" s="101"/>
      <c r="B224" s="1213"/>
      <c r="C224" s="1213"/>
      <c r="D224" s="1213"/>
      <c r="E224" s="1214"/>
      <c r="F224" s="1227" t="s">
        <v>530</v>
      </c>
      <c r="G224" s="1227"/>
      <c r="H224" s="1227"/>
      <c r="I224" s="1227"/>
      <c r="J224" s="1227" t="s">
        <v>531</v>
      </c>
      <c r="K224" s="1227"/>
      <c r="L224" s="1227"/>
      <c r="M224" s="1227"/>
      <c r="N224" s="1227" t="s">
        <v>532</v>
      </c>
      <c r="O224" s="1227"/>
      <c r="P224" s="1227"/>
      <c r="Q224" s="567"/>
      <c r="R224" s="1227"/>
      <c r="S224" s="1227"/>
      <c r="T224" s="1227"/>
      <c r="U224" s="1227"/>
      <c r="V224" s="1227"/>
      <c r="W224" s="1227"/>
      <c r="X224" s="1227"/>
    </row>
    <row r="225" spans="1:24" s="49" customFormat="1" ht="36" customHeight="1">
      <c r="A225" s="101"/>
      <c r="B225" s="1213" t="s">
        <v>533</v>
      </c>
      <c r="C225" s="1213"/>
      <c r="D225" s="1213"/>
      <c r="E225" s="1214"/>
      <c r="F225" s="1215">
        <v>100000</v>
      </c>
      <c r="G225" s="1215"/>
      <c r="H225" s="1215"/>
      <c r="I225" s="1215"/>
      <c r="J225" s="1215">
        <v>100000</v>
      </c>
      <c r="K225" s="1215"/>
      <c r="L225" s="1215"/>
      <c r="M225" s="1215"/>
      <c r="N225" s="1215">
        <v>100000</v>
      </c>
      <c r="O225" s="1215"/>
      <c r="P225" s="1215"/>
      <c r="Q225" s="568"/>
      <c r="R225" s="1216"/>
      <c r="S225" s="1217"/>
      <c r="T225" s="1217"/>
      <c r="U225" s="1217"/>
      <c r="V225" s="1217"/>
      <c r="W225" s="1217"/>
      <c r="X225" s="1217"/>
    </row>
    <row r="226" spans="1:24" s="49" customFormat="1" ht="36" customHeight="1">
      <c r="A226" s="101"/>
      <c r="B226" s="1213" t="s">
        <v>534</v>
      </c>
      <c r="C226" s="1213"/>
      <c r="D226" s="1213"/>
      <c r="E226" s="1214"/>
      <c r="F226" s="1215">
        <v>100000</v>
      </c>
      <c r="G226" s="1215"/>
      <c r="H226" s="1215"/>
      <c r="I226" s="1215"/>
      <c r="J226" s="1215">
        <v>200000</v>
      </c>
      <c r="K226" s="1215"/>
      <c r="L226" s="1215"/>
      <c r="M226" s="1215"/>
      <c r="N226" s="1215">
        <v>300000</v>
      </c>
      <c r="O226" s="1215"/>
      <c r="P226" s="1215"/>
      <c r="Q226" s="568"/>
      <c r="R226" s="1216"/>
      <c r="S226" s="1217"/>
      <c r="T226" s="1217"/>
      <c r="U226" s="1217"/>
      <c r="V226" s="1217"/>
      <c r="W226" s="1217"/>
      <c r="X226" s="1217"/>
    </row>
    <row r="227" spans="1:24" s="49" customFormat="1" ht="18" customHeight="1">
      <c r="A227" s="101"/>
      <c r="B227" s="50"/>
      <c r="C227" s="50"/>
      <c r="D227" s="50"/>
      <c r="E227" s="50"/>
      <c r="F227" s="50"/>
      <c r="G227" s="50"/>
      <c r="H227" s="50"/>
      <c r="I227" s="50"/>
      <c r="J227" s="50"/>
      <c r="K227" s="50"/>
      <c r="L227" s="50"/>
      <c r="M227" s="50"/>
      <c r="N227" s="50"/>
      <c r="O227" s="50"/>
      <c r="P227" s="50"/>
      <c r="Q227" s="50"/>
      <c r="R227" s="50"/>
      <c r="S227" s="50"/>
      <c r="T227" s="50"/>
      <c r="U227" s="50"/>
      <c r="V227" s="50"/>
      <c r="W227" s="50"/>
      <c r="X227" s="50"/>
    </row>
    <row r="228" spans="1:24" s="49" customFormat="1" ht="18" customHeight="1">
      <c r="A228" s="101"/>
      <c r="B228" s="50" t="s">
        <v>535</v>
      </c>
      <c r="C228" s="50"/>
      <c r="D228" s="50"/>
      <c r="E228" s="50"/>
      <c r="F228" s="50"/>
      <c r="G228" s="50"/>
      <c r="H228" s="50"/>
      <c r="I228" s="50"/>
      <c r="J228" s="50"/>
      <c r="K228" s="50"/>
      <c r="L228" s="50"/>
      <c r="M228" s="50"/>
      <c r="N228" s="50"/>
      <c r="O228" s="50"/>
      <c r="P228" s="50"/>
      <c r="Q228" s="50"/>
      <c r="R228" s="50"/>
      <c r="S228" s="50"/>
      <c r="T228" s="50"/>
      <c r="U228" s="50"/>
      <c r="V228" s="50"/>
      <c r="W228" s="50"/>
      <c r="X228" s="50"/>
    </row>
    <row r="229" spans="1:24" s="49" customFormat="1" ht="18" customHeight="1">
      <c r="A229" s="101"/>
      <c r="B229" s="118" t="s">
        <v>536</v>
      </c>
      <c r="C229" s="118"/>
      <c r="D229" s="118"/>
      <c r="E229" s="118"/>
      <c r="F229" s="1225" t="s">
        <v>532</v>
      </c>
      <c r="G229" s="1225"/>
      <c r="H229" s="1225"/>
      <c r="I229" s="1225"/>
      <c r="J229" s="118" t="s">
        <v>537</v>
      </c>
      <c r="K229" s="118"/>
      <c r="L229" s="118"/>
      <c r="M229" s="118"/>
      <c r="N229"/>
      <c r="O229"/>
      <c r="P229"/>
      <c r="Q229"/>
      <c r="R229"/>
      <c r="S229"/>
      <c r="T229"/>
      <c r="U229"/>
      <c r="V229" s="50"/>
      <c r="W229" s="50"/>
      <c r="X229" s="50"/>
    </row>
    <row r="230" spans="1:24" s="49" customFormat="1" ht="18" customHeight="1">
      <c r="A230" s="101"/>
      <c r="B230" s="118" t="s">
        <v>538</v>
      </c>
      <c r="C230" s="118"/>
      <c r="D230" s="118"/>
      <c r="E230" s="118"/>
      <c r="F230" s="118"/>
      <c r="G230" s="118"/>
      <c r="H230" s="118"/>
      <c r="I230" s="118"/>
      <c r="J230" s="336">
        <v>300000</v>
      </c>
      <c r="K230" s="118" t="s">
        <v>539</v>
      </c>
      <c r="L230" s="118"/>
      <c r="M230" s="118"/>
      <c r="N230" s="118"/>
      <c r="O230" s="118"/>
      <c r="P230" s="118"/>
      <c r="Q230"/>
      <c r="R230"/>
      <c r="S230"/>
      <c r="T230"/>
      <c r="U230"/>
      <c r="V230" s="50"/>
      <c r="W230" s="50"/>
      <c r="X230" s="50"/>
    </row>
    <row r="231" spans="1:24" s="49" customFormat="1" ht="18" customHeight="1">
      <c r="A231" s="101"/>
      <c r="B231" s="118" t="s">
        <v>540</v>
      </c>
      <c r="C231" s="118"/>
      <c r="D231" s="118"/>
      <c r="E231" s="118"/>
      <c r="F231" s="1095" t="s">
        <v>541</v>
      </c>
      <c r="G231" s="1095"/>
      <c r="H231" s="1095"/>
      <c r="I231" s="1095"/>
      <c r="J231" s="1095"/>
      <c r="K231" s="1095"/>
      <c r="L231" s="1095"/>
      <c r="M231" s="1095"/>
      <c r="N231" s="1095"/>
      <c r="O231" s="1095"/>
      <c r="P231" s="1095"/>
      <c r="Q231" s="1095"/>
      <c r="R231" s="1095"/>
      <c r="S231" s="1095"/>
      <c r="T231" s="1095"/>
      <c r="U231" s="1095"/>
      <c r="V231" s="1095"/>
      <c r="W231" s="1095"/>
      <c r="X231" s="1095"/>
    </row>
    <row r="232" spans="1:24" ht="18" customHeight="1">
      <c r="A232" s="101"/>
      <c r="B232" s="50"/>
      <c r="C232" s="50"/>
      <c r="D232" s="50"/>
      <c r="E232" s="50"/>
      <c r="F232" s="50" t="s">
        <v>542</v>
      </c>
      <c r="G232" s="50"/>
      <c r="H232" s="50"/>
      <c r="I232" s="50"/>
      <c r="J232" s="50"/>
      <c r="K232" s="50"/>
      <c r="L232" s="50"/>
      <c r="M232" s="50"/>
      <c r="N232" s="50"/>
      <c r="O232" s="50"/>
      <c r="P232" s="50"/>
      <c r="Q232" s="50"/>
      <c r="R232" s="50"/>
      <c r="S232" s="50"/>
      <c r="T232" s="50"/>
      <c r="U232" s="50"/>
      <c r="V232" s="50"/>
      <c r="W232" s="50"/>
      <c r="X232" s="50"/>
    </row>
    <row r="233" spans="1:24" ht="18" customHeight="1">
      <c r="A233" s="101" t="s">
        <v>543</v>
      </c>
      <c r="B233" s="50"/>
      <c r="C233" s="50"/>
      <c r="D233" s="50"/>
      <c r="E233" s="50"/>
      <c r="F233" s="50"/>
      <c r="G233" s="50"/>
      <c r="H233" s="50"/>
      <c r="I233" s="50"/>
      <c r="J233" s="50"/>
      <c r="K233" s="50"/>
      <c r="L233" s="50"/>
      <c r="M233" s="50"/>
      <c r="N233" s="50"/>
      <c r="O233" s="50"/>
      <c r="P233" s="50"/>
      <c r="Q233" s="50"/>
      <c r="R233" s="50"/>
      <c r="S233" s="50"/>
      <c r="T233" s="50"/>
      <c r="U233" s="50"/>
      <c r="V233" s="50"/>
      <c r="W233" s="50"/>
      <c r="X233" s="50"/>
    </row>
    <row r="234" spans="1:24" s="49" customFormat="1" ht="18" customHeight="1">
      <c r="A234" s="101"/>
      <c r="B234" s="118" t="s">
        <v>544</v>
      </c>
      <c r="C234" s="118"/>
      <c r="D234" s="118"/>
      <c r="E234" s="118"/>
      <c r="F234" s="1225" t="s">
        <v>531</v>
      </c>
      <c r="G234" s="1225"/>
      <c r="H234" s="1225"/>
      <c r="I234" s="1225"/>
      <c r="J234" s="118" t="s">
        <v>545</v>
      </c>
      <c r="K234" s="118"/>
      <c r="L234" s="118"/>
      <c r="M234" s="118"/>
      <c r="N234"/>
      <c r="O234"/>
      <c r="P234"/>
      <c r="Q234"/>
      <c r="R234"/>
      <c r="S234"/>
      <c r="T234"/>
      <c r="U234"/>
      <c r="V234" s="50"/>
      <c r="W234" s="50"/>
      <c r="X234" s="50"/>
    </row>
    <row r="235" spans="1:24" s="49" customFormat="1" ht="18" customHeight="1">
      <c r="A235" s="101"/>
      <c r="B235" s="118" t="s">
        <v>546</v>
      </c>
      <c r="C235" s="118"/>
      <c r="D235" s="118"/>
      <c r="E235" s="118"/>
      <c r="F235" s="118"/>
      <c r="G235" s="118"/>
      <c r="H235" s="118"/>
      <c r="I235" s="336">
        <v>24000</v>
      </c>
      <c r="J235" s="118" t="s">
        <v>539</v>
      </c>
      <c r="K235" s="118"/>
      <c r="L235" s="118"/>
      <c r="M235" s="118"/>
      <c r="N235" s="118"/>
      <c r="O235" s="118"/>
      <c r="P235" s="118"/>
      <c r="Q235"/>
      <c r="R235"/>
      <c r="S235"/>
      <c r="T235"/>
      <c r="U235"/>
      <c r="V235" s="50"/>
      <c r="W235" s="50"/>
      <c r="X235" s="50"/>
    </row>
    <row r="236" spans="1:24" s="49" customFormat="1" ht="18" customHeight="1">
      <c r="A236" s="101"/>
      <c r="B236" s="118" t="s">
        <v>540</v>
      </c>
      <c r="C236" s="118"/>
      <c r="D236" s="118"/>
      <c r="E236" s="118"/>
      <c r="F236" s="1095" t="s">
        <v>547</v>
      </c>
      <c r="G236" s="1095"/>
      <c r="H236" s="1095"/>
      <c r="I236" s="1095"/>
      <c r="J236" s="1095"/>
      <c r="K236" s="1095"/>
      <c r="L236" s="1095"/>
      <c r="M236" s="1095"/>
      <c r="N236" s="1095"/>
      <c r="O236" s="1095"/>
      <c r="P236" s="1095"/>
      <c r="Q236" s="1095"/>
      <c r="R236" s="1095"/>
      <c r="S236" s="1095"/>
      <c r="T236" s="1095"/>
      <c r="U236" s="1095"/>
      <c r="V236" s="1095"/>
      <c r="W236" s="1095"/>
      <c r="X236" s="1095"/>
    </row>
    <row r="237" spans="1:24" ht="18" customHeight="1">
      <c r="A237" s="101"/>
      <c r="B237" s="50"/>
      <c r="C237" s="50"/>
      <c r="D237" s="50"/>
      <c r="E237" s="50"/>
      <c r="F237" s="50" t="s">
        <v>542</v>
      </c>
      <c r="G237" s="50"/>
      <c r="H237" s="50"/>
      <c r="I237" s="50"/>
      <c r="J237" s="50"/>
      <c r="K237" s="50"/>
      <c r="L237" s="50"/>
      <c r="M237" s="50"/>
      <c r="N237" s="50"/>
      <c r="O237" s="50"/>
      <c r="P237" s="50"/>
      <c r="Q237" s="50"/>
      <c r="R237" s="50"/>
      <c r="S237" s="50"/>
      <c r="T237" s="50"/>
      <c r="U237" s="50"/>
      <c r="V237" s="50"/>
      <c r="W237" s="50"/>
      <c r="X237" s="50"/>
    </row>
    <row r="238" spans="1:24" ht="18" customHeight="1">
      <c r="A238" s="101" t="s">
        <v>548</v>
      </c>
      <c r="B238" s="50"/>
      <c r="C238" s="50"/>
      <c r="D238" s="50"/>
      <c r="E238" s="50"/>
      <c r="F238" s="50"/>
      <c r="G238" s="50"/>
      <c r="H238" s="50"/>
      <c r="I238" s="50"/>
      <c r="J238" s="50"/>
      <c r="K238" s="50"/>
      <c r="L238" s="50"/>
      <c r="M238" s="50"/>
      <c r="N238" s="50"/>
      <c r="O238" s="50"/>
      <c r="P238" s="50"/>
      <c r="Q238" s="50"/>
      <c r="R238" s="50"/>
      <c r="S238" s="50"/>
      <c r="T238" s="50"/>
      <c r="U238" s="50"/>
      <c r="V238" s="50"/>
      <c r="W238" s="50"/>
      <c r="X238" s="50"/>
    </row>
    <row r="239" spans="1:24" ht="18" customHeight="1">
      <c r="A239" s="1190" t="s">
        <v>549</v>
      </c>
      <c r="B239" s="1191"/>
      <c r="C239" s="1191"/>
      <c r="D239" s="1191"/>
      <c r="E239" s="1191"/>
      <c r="F239" s="1191"/>
      <c r="G239" s="1191"/>
      <c r="H239" s="1191"/>
      <c r="I239" s="1191"/>
      <c r="J239" s="1191"/>
      <c r="K239" s="1191"/>
      <c r="L239" s="124"/>
      <c r="M239" s="1192" t="s">
        <v>504</v>
      </c>
      <c r="N239" s="1192"/>
      <c r="O239" s="1192"/>
      <c r="P239" s="1192"/>
      <c r="Q239" s="1192"/>
      <c r="R239" s="1192"/>
      <c r="S239" s="1192"/>
      <c r="T239" s="1192"/>
      <c r="U239" s="1192"/>
      <c r="V239" s="1192"/>
      <c r="W239" s="1192"/>
      <c r="X239" s="1192"/>
    </row>
    <row r="240" spans="1:24" ht="18" customHeight="1">
      <c r="A240" s="1191"/>
      <c r="B240" s="1191"/>
      <c r="C240" s="1191"/>
      <c r="D240" s="1191"/>
      <c r="E240" s="1191"/>
      <c r="F240" s="1191"/>
      <c r="G240" s="1191"/>
      <c r="H240" s="1191"/>
      <c r="I240" s="1191"/>
      <c r="J240" s="1191"/>
      <c r="K240" s="1123"/>
      <c r="L240" s="125"/>
      <c r="M240" s="1196" t="s">
        <v>550</v>
      </c>
      <c r="N240" s="1197"/>
      <c r="O240" s="1197"/>
      <c r="P240" s="1197"/>
      <c r="Q240" s="1197"/>
      <c r="R240" s="1197"/>
      <c r="S240" s="1197"/>
      <c r="T240" s="1197"/>
      <c r="U240" s="1198">
        <f>IFERROR($M$241/($I$63+$N$63+$S$63+$X$63+$T$71+$S$80+$S$88+$P$110+$P$119),"")</f>
        <v>0.53735032554473894</v>
      </c>
      <c r="V240" s="1199"/>
      <c r="W240" s="1199"/>
      <c r="X240" s="126" t="s">
        <v>473</v>
      </c>
    </row>
    <row r="241" spans="1:24" ht="36" customHeight="1">
      <c r="A241" s="1191"/>
      <c r="B241" s="1191"/>
      <c r="C241" s="1191"/>
      <c r="D241" s="1191"/>
      <c r="E241" s="1191"/>
      <c r="F241" s="1191"/>
      <c r="G241" s="1191"/>
      <c r="H241" s="1191"/>
      <c r="I241" s="1191"/>
      <c r="J241" s="1191"/>
      <c r="K241" s="1123"/>
      <c r="L241" s="125"/>
      <c r="M241" s="1193">
        <v>300000</v>
      </c>
      <c r="N241" s="1194"/>
      <c r="O241" s="1194"/>
      <c r="P241" s="1194"/>
      <c r="Q241" s="1194"/>
      <c r="R241" s="1194"/>
      <c r="S241" s="1194"/>
      <c r="T241" s="1194"/>
      <c r="U241" s="1194"/>
      <c r="V241" s="1194"/>
      <c r="W241" s="1194"/>
      <c r="X241" s="1195"/>
    </row>
    <row r="242" spans="1:24" ht="18" customHeight="1">
      <c r="A242" s="101"/>
      <c r="B242" s="50"/>
      <c r="C242" s="50"/>
      <c r="D242" s="50"/>
      <c r="E242" s="50"/>
      <c r="F242" s="50"/>
      <c r="G242" s="50"/>
      <c r="H242" s="50"/>
      <c r="I242" s="50"/>
      <c r="J242" s="50"/>
      <c r="K242" s="50"/>
      <c r="L242" s="50"/>
      <c r="M242" s="50"/>
      <c r="N242" s="50"/>
      <c r="O242" s="50"/>
      <c r="P242" s="50"/>
      <c r="Q242" s="50"/>
      <c r="R242" s="50"/>
      <c r="S242" s="50"/>
      <c r="T242" s="50"/>
      <c r="U242" s="50"/>
      <c r="V242" s="50"/>
      <c r="W242" s="50"/>
      <c r="X242" s="50"/>
    </row>
    <row r="243" spans="1:24" ht="18" customHeight="1">
      <c r="A243" s="101" t="s">
        <v>551</v>
      </c>
      <c r="B243" s="50"/>
      <c r="C243" s="50"/>
      <c r="D243" s="50"/>
      <c r="E243" s="50"/>
      <c r="F243" s="50"/>
      <c r="G243" s="50"/>
      <c r="H243" s="50"/>
      <c r="I243" s="50"/>
      <c r="J243" s="50"/>
      <c r="K243" s="50"/>
      <c r="L243" s="50"/>
      <c r="M243" s="50"/>
      <c r="N243" s="50"/>
      <c r="O243" s="50"/>
      <c r="P243" s="50"/>
      <c r="Q243" s="50"/>
      <c r="R243" s="50"/>
      <c r="S243" s="50"/>
      <c r="T243" s="50"/>
      <c r="U243" s="50"/>
      <c r="V243" s="50"/>
      <c r="W243" s="50"/>
      <c r="X243" s="50"/>
    </row>
    <row r="244" spans="1:24" ht="18" customHeight="1">
      <c r="A244" s="101"/>
      <c r="B244" s="50"/>
      <c r="C244" s="50"/>
      <c r="D244" s="50"/>
      <c r="E244" s="50"/>
      <c r="F244" s="50"/>
      <c r="G244" s="50"/>
      <c r="H244" s="50"/>
      <c r="I244" s="50"/>
      <c r="J244" s="50"/>
      <c r="K244" s="50"/>
      <c r="L244" s="50"/>
      <c r="M244" s="50"/>
      <c r="N244" s="50"/>
      <c r="O244" s="50"/>
      <c r="P244" s="50"/>
      <c r="Q244" s="50"/>
      <c r="R244" s="50"/>
      <c r="S244" s="50"/>
      <c r="T244" s="50"/>
      <c r="U244" s="50"/>
      <c r="V244" s="50"/>
      <c r="W244" s="50"/>
      <c r="X244" s="50"/>
    </row>
    <row r="245" spans="1:24" ht="18" customHeight="1">
      <c r="A245" s="101" t="s">
        <v>552</v>
      </c>
      <c r="B245" s="50"/>
      <c r="C245" s="50"/>
      <c r="D245" s="50"/>
      <c r="E245" s="50"/>
      <c r="F245" s="50"/>
      <c r="G245" s="50"/>
      <c r="H245" s="50"/>
      <c r="I245" s="50"/>
      <c r="J245" s="50"/>
      <c r="K245" s="50"/>
      <c r="L245" s="50"/>
      <c r="M245" s="50"/>
      <c r="N245" s="50"/>
      <c r="O245" s="50"/>
      <c r="P245" s="50"/>
      <c r="Q245" s="50"/>
      <c r="R245" s="50"/>
      <c r="S245" s="50"/>
      <c r="T245" s="50"/>
      <c r="U245" s="50"/>
      <c r="V245" s="50"/>
      <c r="W245" s="50"/>
      <c r="X245" s="50"/>
    </row>
    <row r="246" spans="1:24" ht="18" customHeight="1">
      <c r="A246" s="101"/>
      <c r="B246" s="50" t="s">
        <v>553</v>
      </c>
      <c r="C246" s="50"/>
      <c r="D246" s="50"/>
      <c r="E246" s="50"/>
      <c r="F246" s="50"/>
      <c r="G246" s="50"/>
      <c r="H246" s="50"/>
      <c r="I246" s="50"/>
      <c r="J246" s="50"/>
      <c r="K246" s="50"/>
      <c r="L246" s="50"/>
      <c r="M246" s="50"/>
      <c r="N246" s="50"/>
      <c r="O246" s="50"/>
      <c r="P246" s="50"/>
      <c r="Q246" s="50"/>
      <c r="R246" s="50"/>
      <c r="S246" s="50"/>
      <c r="T246" s="50"/>
      <c r="U246" s="50"/>
      <c r="V246" s="50"/>
      <c r="W246" s="50"/>
      <c r="X246" s="50"/>
    </row>
    <row r="247" spans="1:24" ht="18" customHeight="1">
      <c r="A247" s="1191" t="s">
        <v>369</v>
      </c>
      <c r="B247" s="1191"/>
      <c r="C247" s="1191"/>
      <c r="D247" s="1231" t="s">
        <v>554</v>
      </c>
      <c r="E247" s="1231"/>
      <c r="F247" s="1231"/>
      <c r="G247" s="1231"/>
      <c r="H247" s="1231"/>
      <c r="I247" s="1231"/>
      <c r="J247" s="1231"/>
      <c r="K247" s="1231"/>
      <c r="L247" s="1231"/>
      <c r="M247" s="1231"/>
      <c r="N247" s="1231"/>
      <c r="O247" s="1231"/>
      <c r="P247" s="1231"/>
      <c r="Q247" s="1231"/>
      <c r="R247" s="1231"/>
      <c r="S247" s="1231"/>
      <c r="T247" s="1231"/>
      <c r="U247" s="50"/>
      <c r="V247" s="50"/>
      <c r="W247" s="50"/>
      <c r="X247" s="50"/>
    </row>
    <row r="248" spans="1:24" ht="37.9" customHeight="1">
      <c r="A248" s="1223" t="str">
        <f>別紙２①!$H$6</f>
        <v/>
      </c>
      <c r="B248" s="1223"/>
      <c r="C248" s="1223"/>
      <c r="D248" s="1224" t="s">
        <v>555</v>
      </c>
      <c r="E248" s="1224"/>
      <c r="F248" s="1224"/>
      <c r="G248" s="1224"/>
      <c r="H248" s="1224"/>
      <c r="I248" s="1224"/>
      <c r="J248" s="1224"/>
      <c r="K248" s="1224"/>
      <c r="L248" s="1224"/>
      <c r="M248" s="1224"/>
      <c r="N248" s="1224"/>
      <c r="O248" s="1224"/>
      <c r="P248" s="1224"/>
      <c r="Q248" s="1224"/>
      <c r="R248" s="1224"/>
      <c r="S248" s="1224"/>
      <c r="T248" s="1224"/>
      <c r="U248" s="50"/>
      <c r="V248" s="50"/>
      <c r="W248" s="50"/>
      <c r="X248" s="50"/>
    </row>
    <row r="249" spans="1:24" ht="18" customHeight="1">
      <c r="A249" s="101"/>
      <c r="B249" s="50"/>
      <c r="C249" s="50"/>
      <c r="D249" s="50"/>
      <c r="E249" s="50"/>
      <c r="F249" s="50"/>
      <c r="G249" s="50"/>
      <c r="H249" s="50"/>
      <c r="I249" s="50"/>
      <c r="J249" s="50"/>
      <c r="K249" s="50"/>
      <c r="L249" s="50"/>
      <c r="M249" s="50"/>
      <c r="N249" s="50"/>
      <c r="O249" s="50"/>
      <c r="P249" s="50"/>
      <c r="Q249" s="50"/>
      <c r="R249" s="50"/>
      <c r="S249" s="50"/>
      <c r="T249" s="50"/>
      <c r="U249" s="50"/>
      <c r="V249" s="50"/>
      <c r="W249" s="50"/>
      <c r="X249" s="50"/>
    </row>
    <row r="250" spans="1:24" ht="18" customHeight="1">
      <c r="A250" s="101"/>
      <c r="B250" s="50"/>
      <c r="C250" s="50"/>
      <c r="D250" s="50"/>
      <c r="E250" s="50"/>
      <c r="F250" s="50"/>
      <c r="G250" s="50"/>
      <c r="H250" s="50"/>
      <c r="I250" s="50"/>
      <c r="J250" s="50"/>
      <c r="K250" s="50"/>
      <c r="L250" s="50"/>
      <c r="M250" s="50"/>
      <c r="N250" s="50"/>
      <c r="O250" s="50"/>
      <c r="P250" s="50"/>
      <c r="Q250" s="50"/>
      <c r="R250" s="50"/>
      <c r="S250" s="50"/>
      <c r="T250" s="50"/>
      <c r="U250" s="50"/>
      <c r="V250" s="50"/>
      <c r="W250" s="50"/>
      <c r="X250" s="50"/>
    </row>
    <row r="251" spans="1:24" ht="18" customHeight="1">
      <c r="A251" s="101" t="s">
        <v>556</v>
      </c>
      <c r="B251" s="50"/>
      <c r="C251" s="50"/>
      <c r="D251" s="50"/>
      <c r="E251" s="50"/>
      <c r="F251" s="50"/>
      <c r="G251" s="50"/>
      <c r="H251" s="50"/>
      <c r="I251" s="50"/>
      <c r="J251" s="50"/>
      <c r="K251" s="50"/>
      <c r="L251" s="50"/>
      <c r="M251" s="50"/>
      <c r="N251" s="50"/>
      <c r="O251" s="50"/>
      <c r="P251" s="50"/>
      <c r="Q251" s="50"/>
      <c r="R251" s="50"/>
      <c r="S251" s="50"/>
      <c r="T251" s="50"/>
      <c r="U251" s="50"/>
      <c r="V251" s="50"/>
      <c r="W251" s="50"/>
      <c r="X251" s="50"/>
    </row>
    <row r="252" spans="1:24" ht="8.4499999999999993" customHeight="1">
      <c r="A252" s="101"/>
      <c r="B252" s="50"/>
      <c r="C252" s="50"/>
      <c r="D252" s="50"/>
      <c r="E252" s="50"/>
      <c r="F252" s="50"/>
      <c r="G252" s="50"/>
      <c r="H252" s="50"/>
      <c r="I252" s="50"/>
      <c r="J252" s="50"/>
      <c r="K252" s="50"/>
      <c r="L252" s="50"/>
      <c r="M252" s="50"/>
      <c r="N252" s="50"/>
      <c r="O252" s="50"/>
      <c r="P252" s="50"/>
      <c r="Q252" s="50"/>
      <c r="R252" s="50"/>
      <c r="S252" s="50"/>
      <c r="T252" s="50"/>
      <c r="U252" s="50"/>
      <c r="V252" s="50"/>
      <c r="W252" s="50"/>
      <c r="X252" s="50"/>
    </row>
    <row r="253" spans="1:24" ht="18" customHeight="1">
      <c r="A253" s="101" t="s">
        <v>557</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row>
    <row r="254" spans="1:24" ht="36" customHeight="1">
      <c r="A254" s="101"/>
      <c r="B254" s="1220" t="s">
        <v>558</v>
      </c>
      <c r="C254" s="1220"/>
      <c r="D254" s="1220"/>
      <c r="E254" s="1220"/>
      <c r="F254" s="1220"/>
      <c r="G254" s="1220"/>
      <c r="H254" s="1220"/>
      <c r="I254" s="1220"/>
      <c r="J254" s="1220"/>
      <c r="K254" s="1220"/>
      <c r="L254" s="1220"/>
      <c r="M254" s="1220"/>
      <c r="N254" s="1220"/>
      <c r="O254" s="1220"/>
      <c r="P254" s="1220"/>
      <c r="Q254" s="1220"/>
      <c r="R254" s="1220"/>
      <c r="S254" s="1220"/>
      <c r="T254" s="1220"/>
      <c r="U254" s="1220"/>
      <c r="V254" s="1220"/>
      <c r="W254" s="1220"/>
      <c r="X254" s="1220"/>
    </row>
    <row r="255" spans="1:24" ht="18" customHeight="1">
      <c r="A255" s="1221" t="s">
        <v>369</v>
      </c>
      <c r="B255" s="1221"/>
      <c r="C255" s="1222" t="s">
        <v>559</v>
      </c>
      <c r="D255" s="1222"/>
      <c r="E255" s="1222"/>
      <c r="F255" s="1222"/>
      <c r="G255" s="1222"/>
      <c r="H255" s="1222"/>
      <c r="I255" s="1222" t="s">
        <v>560</v>
      </c>
      <c r="J255" s="1222"/>
      <c r="K255" s="1222"/>
      <c r="L255" s="127"/>
      <c r="M255" s="1222" t="s">
        <v>561</v>
      </c>
      <c r="N255" s="1222"/>
      <c r="O255" s="1222"/>
      <c r="P255" s="1222"/>
      <c r="Q255" s="1222"/>
      <c r="R255" s="1222"/>
      <c r="S255" s="1222" t="s">
        <v>562</v>
      </c>
      <c r="T255" s="1222"/>
      <c r="U255" s="1222"/>
      <c r="V255" s="1222"/>
      <c r="W255" s="1222"/>
      <c r="X255" s="1222"/>
    </row>
    <row r="256" spans="1:24" ht="20.45" customHeight="1">
      <c r="A256" s="1161" t="str">
        <f>IF(T71&gt;0,"〇","")</f>
        <v/>
      </c>
      <c r="B256" s="1162"/>
      <c r="C256" s="1163" t="s">
        <v>563</v>
      </c>
      <c r="D256" s="1163"/>
      <c r="E256" s="1163"/>
      <c r="F256" s="1163"/>
      <c r="G256" s="1163"/>
      <c r="H256" s="1163"/>
      <c r="I256" s="128" t="s">
        <v>250</v>
      </c>
      <c r="J256" s="420"/>
      <c r="K256" s="129" t="s">
        <v>251</v>
      </c>
      <c r="L256" s="130"/>
      <c r="M256" s="1172"/>
      <c r="N256" s="1218"/>
      <c r="O256" s="1218"/>
      <c r="P256" s="1218"/>
      <c r="Q256" s="1218"/>
      <c r="R256" s="1219"/>
      <c r="S256" s="1172" t="s">
        <v>2111</v>
      </c>
      <c r="T256" s="1218"/>
      <c r="U256" s="1218"/>
      <c r="V256" s="1218"/>
      <c r="W256" s="1218"/>
      <c r="X256" s="1219"/>
    </row>
    <row r="257" spans="1:24" ht="16.149999999999999" customHeight="1">
      <c r="A257" s="1169"/>
      <c r="B257" s="1170"/>
      <c r="C257" s="1171"/>
      <c r="D257" s="1171"/>
      <c r="E257" s="1171"/>
      <c r="F257" s="1171"/>
      <c r="G257" s="1171"/>
      <c r="H257" s="1171"/>
      <c r="I257" s="131"/>
      <c r="J257" s="132" t="s">
        <v>564</v>
      </c>
      <c r="K257" s="133"/>
      <c r="L257" s="134"/>
      <c r="M257" s="1175"/>
      <c r="N257" s="1176"/>
      <c r="O257" s="1176"/>
      <c r="P257" s="1176"/>
      <c r="Q257" s="1176"/>
      <c r="R257" s="1177"/>
      <c r="S257" s="1175"/>
      <c r="T257" s="1176"/>
      <c r="U257" s="1176"/>
      <c r="V257" s="1176"/>
      <c r="W257" s="1176"/>
      <c r="X257" s="1177"/>
    </row>
    <row r="258" spans="1:24" ht="22.9" customHeight="1">
      <c r="A258" s="1169"/>
      <c r="B258" s="1170"/>
      <c r="C258" s="1171"/>
      <c r="D258" s="1171"/>
      <c r="E258" s="1171"/>
      <c r="F258" s="1171"/>
      <c r="G258" s="1171"/>
      <c r="H258" s="1171"/>
      <c r="I258" s="135" t="s">
        <v>250</v>
      </c>
      <c r="J258" s="419"/>
      <c r="K258" s="136" t="s">
        <v>251</v>
      </c>
      <c r="L258" s="134"/>
      <c r="M258" s="1175"/>
      <c r="N258" s="1176"/>
      <c r="O258" s="1176"/>
      <c r="P258" s="1176"/>
      <c r="Q258" s="1176"/>
      <c r="R258" s="1177"/>
      <c r="S258" s="1175"/>
      <c r="T258" s="1176"/>
      <c r="U258" s="1176"/>
      <c r="V258" s="1176"/>
      <c r="W258" s="1176"/>
      <c r="X258" s="1177"/>
    </row>
    <row r="259" spans="1:24" ht="46.15" customHeight="1">
      <c r="A259" s="1169" t="str">
        <f>IF(S70&gt;0,"〇","")</f>
        <v/>
      </c>
      <c r="B259" s="1170"/>
      <c r="C259" s="1171"/>
      <c r="D259" s="1171"/>
      <c r="E259" s="1171"/>
      <c r="F259" s="1171"/>
      <c r="G259" s="1171"/>
      <c r="H259" s="1171"/>
      <c r="I259" s="1205"/>
      <c r="J259" s="1206"/>
      <c r="K259" s="1207"/>
      <c r="L259" s="134"/>
      <c r="M259" s="1175"/>
      <c r="N259" s="1176"/>
      <c r="O259" s="1176"/>
      <c r="P259" s="1176"/>
      <c r="Q259" s="1176"/>
      <c r="R259" s="1177"/>
      <c r="S259" s="1178"/>
      <c r="T259" s="1179"/>
      <c r="U259" s="1179"/>
      <c r="V259" s="1179"/>
      <c r="W259" s="1179"/>
      <c r="X259" s="1180"/>
    </row>
    <row r="260" spans="1:24" ht="84.6" customHeight="1">
      <c r="A260" s="1169"/>
      <c r="B260" s="1170"/>
      <c r="C260" s="1171"/>
      <c r="D260" s="1171"/>
      <c r="E260" s="1171"/>
      <c r="F260" s="1171"/>
      <c r="G260" s="1171"/>
      <c r="H260" s="1171"/>
      <c r="I260" s="1205"/>
      <c r="J260" s="1206"/>
      <c r="K260" s="1207"/>
      <c r="L260" s="134"/>
      <c r="M260" s="1175"/>
      <c r="N260" s="1176"/>
      <c r="O260" s="1176"/>
      <c r="P260" s="1176"/>
      <c r="Q260" s="1176"/>
      <c r="R260" s="1177"/>
      <c r="S260" s="1208" t="s">
        <v>2112</v>
      </c>
      <c r="T260" s="1209"/>
      <c r="U260" s="1209"/>
      <c r="V260" s="1209"/>
      <c r="W260" s="1209"/>
      <c r="X260" s="1210"/>
    </row>
    <row r="261" spans="1:24" ht="120" customHeight="1">
      <c r="A261" s="1166"/>
      <c r="B261" s="1167"/>
      <c r="C261" s="1168"/>
      <c r="D261" s="1168"/>
      <c r="E261" s="1168"/>
      <c r="F261" s="1168"/>
      <c r="G261" s="1168"/>
      <c r="H261" s="1168"/>
      <c r="I261" s="1187"/>
      <c r="J261" s="1211"/>
      <c r="K261" s="1212"/>
      <c r="L261" s="137"/>
      <c r="M261" s="1178"/>
      <c r="N261" s="1179"/>
      <c r="O261" s="1179"/>
      <c r="P261" s="1179"/>
      <c r="Q261" s="1179"/>
      <c r="R261" s="1180"/>
      <c r="S261" s="1208" t="s">
        <v>2113</v>
      </c>
      <c r="T261" s="1209"/>
      <c r="U261" s="1209"/>
      <c r="V261" s="1209"/>
      <c r="W261" s="1209"/>
      <c r="X261" s="1210"/>
    </row>
    <row r="262" spans="1:24" ht="21.6" customHeight="1">
      <c r="A262" s="1161" t="str">
        <f>IF(S80&gt;0,"〇","")</f>
        <v>〇</v>
      </c>
      <c r="B262" s="1162"/>
      <c r="C262" s="1163" t="s">
        <v>565</v>
      </c>
      <c r="D262" s="1163"/>
      <c r="E262" s="1163"/>
      <c r="F262" s="1163"/>
      <c r="G262" s="1163"/>
      <c r="H262" s="1163"/>
      <c r="I262" s="128" t="s">
        <v>250</v>
      </c>
      <c r="J262" s="420">
        <v>7</v>
      </c>
      <c r="K262" s="129" t="s">
        <v>251</v>
      </c>
      <c r="L262" s="138"/>
      <c r="M262" s="1172" t="s">
        <v>566</v>
      </c>
      <c r="N262" s="1173"/>
      <c r="O262" s="1173"/>
      <c r="P262" s="1173"/>
      <c r="Q262" s="1173"/>
      <c r="R262" s="1174"/>
      <c r="S262" s="1172" t="s">
        <v>567</v>
      </c>
      <c r="T262" s="1173"/>
      <c r="U262" s="1173"/>
      <c r="V262" s="1173"/>
      <c r="W262" s="1173"/>
      <c r="X262" s="1174"/>
    </row>
    <row r="263" spans="1:24" ht="21.6" customHeight="1">
      <c r="A263" s="1169"/>
      <c r="B263" s="1170"/>
      <c r="C263" s="1171"/>
      <c r="D263" s="1171"/>
      <c r="E263" s="1171"/>
      <c r="F263" s="1171"/>
      <c r="G263" s="1171"/>
      <c r="H263" s="1171"/>
      <c r="I263" s="131"/>
      <c r="J263" s="132" t="s">
        <v>564</v>
      </c>
      <c r="K263" s="133"/>
      <c r="L263" s="138"/>
      <c r="M263" s="1175"/>
      <c r="N263" s="1176"/>
      <c r="O263" s="1176"/>
      <c r="P263" s="1176"/>
      <c r="Q263" s="1176"/>
      <c r="R263" s="1177"/>
      <c r="S263" s="1175"/>
      <c r="T263" s="1176"/>
      <c r="U263" s="1176"/>
      <c r="V263" s="1176"/>
      <c r="W263" s="1176"/>
      <c r="X263" s="1177"/>
    </row>
    <row r="264" spans="1:24" ht="21.6" customHeight="1">
      <c r="A264" s="1169"/>
      <c r="B264" s="1170"/>
      <c r="C264" s="1171"/>
      <c r="D264" s="1171"/>
      <c r="E264" s="1171"/>
      <c r="F264" s="1171"/>
      <c r="G264" s="1171"/>
      <c r="H264" s="1171"/>
      <c r="I264" s="135" t="s">
        <v>250</v>
      </c>
      <c r="J264" s="419">
        <v>11</v>
      </c>
      <c r="K264" s="136" t="s">
        <v>251</v>
      </c>
      <c r="L264" s="138"/>
      <c r="M264" s="1175"/>
      <c r="N264" s="1176"/>
      <c r="O264" s="1176"/>
      <c r="P264" s="1176"/>
      <c r="Q264" s="1176"/>
      <c r="R264" s="1177"/>
      <c r="S264" s="1175"/>
      <c r="T264" s="1176"/>
      <c r="U264" s="1176"/>
      <c r="V264" s="1176"/>
      <c r="W264" s="1176"/>
      <c r="X264" s="1177"/>
    </row>
    <row r="265" spans="1:24" ht="162" customHeight="1">
      <c r="A265" s="1166" t="str">
        <f>IF(S75&gt;0,"〇","")</f>
        <v/>
      </c>
      <c r="B265" s="1167"/>
      <c r="C265" s="1168"/>
      <c r="D265" s="1168"/>
      <c r="E265" s="1168"/>
      <c r="F265" s="1168"/>
      <c r="G265" s="1168"/>
      <c r="H265" s="1168"/>
      <c r="I265" s="1187"/>
      <c r="J265" s="1188"/>
      <c r="K265" s="1189"/>
      <c r="L265" s="138"/>
      <c r="M265" s="1178"/>
      <c r="N265" s="1179"/>
      <c r="O265" s="1179"/>
      <c r="P265" s="1179"/>
      <c r="Q265" s="1179"/>
      <c r="R265" s="1180"/>
      <c r="S265" s="1178"/>
      <c r="T265" s="1179"/>
      <c r="U265" s="1179"/>
      <c r="V265" s="1179"/>
      <c r="W265" s="1179"/>
      <c r="X265" s="1180"/>
    </row>
    <row r="266" spans="1:24" ht="24" customHeight="1">
      <c r="A266" s="1161" t="str">
        <f>IF(S88&gt;0,"〇","")</f>
        <v/>
      </c>
      <c r="B266" s="1162"/>
      <c r="C266" s="1163" t="s">
        <v>568</v>
      </c>
      <c r="D266" s="1163"/>
      <c r="E266" s="1163"/>
      <c r="F266" s="1163"/>
      <c r="G266" s="1163"/>
      <c r="H266" s="1163"/>
      <c r="I266" s="128" t="s">
        <v>250</v>
      </c>
      <c r="J266" s="420">
        <v>7</v>
      </c>
      <c r="K266" s="129" t="s">
        <v>251</v>
      </c>
      <c r="L266" s="138"/>
      <c r="M266" s="1172" t="s">
        <v>569</v>
      </c>
      <c r="N266" s="1203"/>
      <c r="O266" s="1203"/>
      <c r="P266" s="1203"/>
      <c r="Q266" s="1203"/>
      <c r="R266" s="1204"/>
      <c r="S266" s="1172" t="s">
        <v>570</v>
      </c>
      <c r="T266" s="1173"/>
      <c r="U266" s="1173"/>
      <c r="V266" s="1173"/>
      <c r="W266" s="1173"/>
      <c r="X266" s="1174"/>
    </row>
    <row r="267" spans="1:24" ht="24" customHeight="1">
      <c r="A267" s="1169"/>
      <c r="B267" s="1170"/>
      <c r="C267" s="1171"/>
      <c r="D267" s="1171"/>
      <c r="E267" s="1171"/>
      <c r="F267" s="1171"/>
      <c r="G267" s="1171"/>
      <c r="H267" s="1171"/>
      <c r="I267" s="131"/>
      <c r="J267" s="132" t="s">
        <v>564</v>
      </c>
      <c r="K267" s="133"/>
      <c r="L267" s="138"/>
      <c r="M267" s="1175"/>
      <c r="N267" s="1176"/>
      <c r="O267" s="1176"/>
      <c r="P267" s="1176"/>
      <c r="Q267" s="1176"/>
      <c r="R267" s="1177"/>
      <c r="S267" s="1181"/>
      <c r="T267" s="1182"/>
      <c r="U267" s="1182"/>
      <c r="V267" s="1182"/>
      <c r="W267" s="1182"/>
      <c r="X267" s="1183"/>
    </row>
    <row r="268" spans="1:24" ht="24" customHeight="1">
      <c r="A268" s="1169"/>
      <c r="B268" s="1170"/>
      <c r="C268" s="1171"/>
      <c r="D268" s="1171"/>
      <c r="E268" s="1171"/>
      <c r="F268" s="1171"/>
      <c r="G268" s="1171"/>
      <c r="H268" s="1171"/>
      <c r="I268" s="135" t="s">
        <v>250</v>
      </c>
      <c r="J268" s="419">
        <v>11</v>
      </c>
      <c r="K268" s="136" t="s">
        <v>251</v>
      </c>
      <c r="L268" s="138"/>
      <c r="M268" s="1175"/>
      <c r="N268" s="1176"/>
      <c r="O268" s="1176"/>
      <c r="P268" s="1176"/>
      <c r="Q268" s="1176"/>
      <c r="R268" s="1177"/>
      <c r="S268" s="1181"/>
      <c r="T268" s="1182"/>
      <c r="U268" s="1182"/>
      <c r="V268" s="1182"/>
      <c r="W268" s="1182"/>
      <c r="X268" s="1183"/>
    </row>
    <row r="269" spans="1:24" ht="138" customHeight="1">
      <c r="A269" s="1166"/>
      <c r="B269" s="1167"/>
      <c r="C269" s="1168"/>
      <c r="D269" s="1168"/>
      <c r="E269" s="1168"/>
      <c r="F269" s="1168"/>
      <c r="G269" s="1168"/>
      <c r="H269" s="1168"/>
      <c r="I269" s="1187"/>
      <c r="J269" s="1188"/>
      <c r="K269" s="1189"/>
      <c r="L269" s="138"/>
      <c r="M269" s="1178"/>
      <c r="N269" s="1179"/>
      <c r="O269" s="1179"/>
      <c r="P269" s="1179"/>
      <c r="Q269" s="1179"/>
      <c r="R269" s="1180"/>
      <c r="S269" s="1184"/>
      <c r="T269" s="1185"/>
      <c r="U269" s="1185"/>
      <c r="V269" s="1185"/>
      <c r="W269" s="1185"/>
      <c r="X269" s="1186"/>
    </row>
    <row r="270" spans="1:24" ht="24" customHeight="1">
      <c r="A270" s="1164" t="str">
        <f>IF(P110&gt;0,"〇","")</f>
        <v/>
      </c>
      <c r="B270" s="1165"/>
      <c r="C270" s="1163" t="s">
        <v>571</v>
      </c>
      <c r="D270" s="1163"/>
      <c r="E270" s="1163"/>
      <c r="F270" s="1163"/>
      <c r="G270" s="1163"/>
      <c r="H270" s="1163"/>
      <c r="I270" s="128" t="s">
        <v>250</v>
      </c>
      <c r="J270" s="420">
        <v>7</v>
      </c>
      <c r="K270" s="129" t="s">
        <v>251</v>
      </c>
      <c r="L270" s="138"/>
      <c r="M270" s="1172" t="s">
        <v>572</v>
      </c>
      <c r="N270" s="1173"/>
      <c r="O270" s="1173"/>
      <c r="P270" s="1173"/>
      <c r="Q270" s="1173"/>
      <c r="R270" s="1174"/>
      <c r="S270" s="1172" t="s">
        <v>573</v>
      </c>
      <c r="T270" s="1173"/>
      <c r="U270" s="1173"/>
      <c r="V270" s="1173"/>
      <c r="W270" s="1173"/>
      <c r="X270" s="1174"/>
    </row>
    <row r="271" spans="1:24" ht="24" customHeight="1">
      <c r="A271" s="1169"/>
      <c r="B271" s="1170"/>
      <c r="C271" s="1171"/>
      <c r="D271" s="1171"/>
      <c r="E271" s="1171"/>
      <c r="F271" s="1171"/>
      <c r="G271" s="1171"/>
      <c r="H271" s="1171"/>
      <c r="I271" s="131"/>
      <c r="J271" s="132" t="s">
        <v>564</v>
      </c>
      <c r="K271" s="133"/>
      <c r="L271" s="138"/>
      <c r="M271" s="1175"/>
      <c r="N271" s="1176"/>
      <c r="O271" s="1176"/>
      <c r="P271" s="1176"/>
      <c r="Q271" s="1176"/>
      <c r="R271" s="1177"/>
      <c r="S271" s="1175"/>
      <c r="T271" s="1176"/>
      <c r="U271" s="1176"/>
      <c r="V271" s="1176"/>
      <c r="W271" s="1176"/>
      <c r="X271" s="1177"/>
    </row>
    <row r="272" spans="1:24" ht="24" customHeight="1">
      <c r="A272" s="1169"/>
      <c r="B272" s="1170"/>
      <c r="C272" s="1171"/>
      <c r="D272" s="1171"/>
      <c r="E272" s="1171"/>
      <c r="F272" s="1171"/>
      <c r="G272" s="1171"/>
      <c r="H272" s="1171"/>
      <c r="I272" s="135" t="s">
        <v>250</v>
      </c>
      <c r="J272" s="419">
        <v>11</v>
      </c>
      <c r="K272" s="136" t="s">
        <v>251</v>
      </c>
      <c r="L272" s="138"/>
      <c r="M272" s="1175"/>
      <c r="N272" s="1176"/>
      <c r="O272" s="1176"/>
      <c r="P272" s="1176"/>
      <c r="Q272" s="1176"/>
      <c r="R272" s="1177"/>
      <c r="S272" s="1175"/>
      <c r="T272" s="1176"/>
      <c r="U272" s="1176"/>
      <c r="V272" s="1176"/>
      <c r="W272" s="1176"/>
      <c r="X272" s="1177"/>
    </row>
    <row r="273" spans="1:25" ht="119.45" customHeight="1">
      <c r="A273" s="1166"/>
      <c r="B273" s="1167"/>
      <c r="C273" s="1168"/>
      <c r="D273" s="1168"/>
      <c r="E273" s="1168"/>
      <c r="F273" s="1168"/>
      <c r="G273" s="1168"/>
      <c r="H273" s="1168"/>
      <c r="I273" s="139"/>
      <c r="J273" s="140"/>
      <c r="K273" s="141"/>
      <c r="L273" s="138"/>
      <c r="M273" s="1178"/>
      <c r="N273" s="1179"/>
      <c r="O273" s="1179"/>
      <c r="P273" s="1179"/>
      <c r="Q273" s="1179"/>
      <c r="R273" s="1180"/>
      <c r="S273" s="1178"/>
      <c r="T273" s="1179"/>
      <c r="U273" s="1179"/>
      <c r="V273" s="1179"/>
      <c r="W273" s="1179"/>
      <c r="X273" s="1180"/>
    </row>
    <row r="274" spans="1:25" ht="24" customHeight="1">
      <c r="A274" s="1200" t="str">
        <f>IF(P119&gt;0,"〇","")</f>
        <v/>
      </c>
      <c r="B274" s="1201"/>
      <c r="C274" s="1202" t="s">
        <v>574</v>
      </c>
      <c r="D274" s="1163"/>
      <c r="E274" s="1163"/>
      <c r="F274" s="1163"/>
      <c r="G274" s="1163"/>
      <c r="H274" s="1163"/>
      <c r="I274" s="128" t="s">
        <v>250</v>
      </c>
      <c r="J274" s="420">
        <v>7</v>
      </c>
      <c r="K274" s="129" t="s">
        <v>251</v>
      </c>
      <c r="L274" s="142"/>
      <c r="M274" s="1172" t="s">
        <v>575</v>
      </c>
      <c r="N274" s="1173"/>
      <c r="O274" s="1173"/>
      <c r="P274" s="1173"/>
      <c r="Q274" s="1173"/>
      <c r="R274" s="1174"/>
      <c r="S274" s="1172" t="s">
        <v>576</v>
      </c>
      <c r="T274" s="1173"/>
      <c r="U274" s="1173"/>
      <c r="V274" s="1173"/>
      <c r="W274" s="1173"/>
      <c r="X274" s="1174"/>
      <c r="Y274" s="55"/>
    </row>
    <row r="275" spans="1:25" ht="24" customHeight="1">
      <c r="A275" s="1169"/>
      <c r="B275" s="1170"/>
      <c r="C275" s="1171"/>
      <c r="D275" s="1171"/>
      <c r="E275" s="1171"/>
      <c r="F275" s="1171"/>
      <c r="G275" s="1171"/>
      <c r="H275" s="1171"/>
      <c r="I275" s="131"/>
      <c r="J275" s="132" t="s">
        <v>564</v>
      </c>
      <c r="K275" s="133"/>
      <c r="L275" s="142"/>
      <c r="M275" s="1175"/>
      <c r="N275" s="1176"/>
      <c r="O275" s="1176"/>
      <c r="P275" s="1176"/>
      <c r="Q275" s="1176"/>
      <c r="R275" s="1177"/>
      <c r="S275" s="1175"/>
      <c r="T275" s="1176"/>
      <c r="U275" s="1176"/>
      <c r="V275" s="1176"/>
      <c r="W275" s="1176"/>
      <c r="X275" s="1177"/>
    </row>
    <row r="276" spans="1:25" ht="24" customHeight="1">
      <c r="A276" s="1169"/>
      <c r="B276" s="1170"/>
      <c r="C276" s="1171"/>
      <c r="D276" s="1171"/>
      <c r="E276" s="1171"/>
      <c r="F276" s="1171"/>
      <c r="G276" s="1171"/>
      <c r="H276" s="1171"/>
      <c r="I276" s="135" t="s">
        <v>250</v>
      </c>
      <c r="J276" s="419">
        <v>11</v>
      </c>
      <c r="K276" s="136" t="s">
        <v>251</v>
      </c>
      <c r="L276" s="142"/>
      <c r="M276" s="1175"/>
      <c r="N276" s="1176"/>
      <c r="O276" s="1176"/>
      <c r="P276" s="1176"/>
      <c r="Q276" s="1176"/>
      <c r="R276" s="1177"/>
      <c r="S276" s="1175"/>
      <c r="T276" s="1176"/>
      <c r="U276" s="1176"/>
      <c r="V276" s="1176"/>
      <c r="W276" s="1176"/>
      <c r="X276" s="1177"/>
    </row>
    <row r="277" spans="1:25" ht="119.45" customHeight="1">
      <c r="A277" s="1166" t="str">
        <f>IF(S84&gt;0,"〇","")</f>
        <v/>
      </c>
      <c r="B277" s="1167"/>
      <c r="C277" s="1168"/>
      <c r="D277" s="1168"/>
      <c r="E277" s="1168"/>
      <c r="F277" s="1168"/>
      <c r="G277" s="1168"/>
      <c r="H277" s="1168"/>
      <c r="I277" s="139"/>
      <c r="J277" s="140"/>
      <c r="K277" s="141"/>
      <c r="L277" s="142"/>
      <c r="M277" s="1178"/>
      <c r="N277" s="1179"/>
      <c r="O277" s="1179"/>
      <c r="P277" s="1179"/>
      <c r="Q277" s="1179"/>
      <c r="R277" s="1180"/>
      <c r="S277" s="1178"/>
      <c r="T277" s="1179"/>
      <c r="U277" s="1179"/>
      <c r="V277" s="1179"/>
      <c r="W277" s="1179"/>
      <c r="X277" s="1180"/>
    </row>
    <row r="278" spans="1:25" ht="7.15" customHeight="1">
      <c r="A278" s="143"/>
      <c r="B278" s="143"/>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row>
    <row r="279" spans="1:25" ht="18" customHeight="1">
      <c r="A279" s="120"/>
      <c r="B279" s="121" t="s">
        <v>577</v>
      </c>
      <c r="C279" s="116" t="s">
        <v>578</v>
      </c>
      <c r="D279" s="116"/>
      <c r="E279" s="116"/>
      <c r="F279" s="116"/>
      <c r="G279" s="116"/>
      <c r="H279" s="116"/>
      <c r="I279" s="116"/>
      <c r="J279" s="116"/>
      <c r="K279" s="116"/>
      <c r="L279" s="116"/>
      <c r="M279" s="116"/>
      <c r="N279" s="116"/>
      <c r="O279" s="116"/>
      <c r="P279" s="116"/>
      <c r="Q279" s="116"/>
      <c r="R279" s="116"/>
      <c r="S279" s="116"/>
      <c r="T279" s="116"/>
      <c r="U279" s="116"/>
      <c r="V279" s="116"/>
      <c r="W279" s="116"/>
      <c r="X279" s="116"/>
    </row>
    <row r="280" spans="1:25" ht="45.75" customHeight="1">
      <c r="A280" s="120"/>
      <c r="B280" s="145" t="s">
        <v>579</v>
      </c>
      <c r="C280" s="1160" t="s">
        <v>580</v>
      </c>
      <c r="D280" s="1160"/>
      <c r="E280" s="1160"/>
      <c r="F280" s="1160"/>
      <c r="G280" s="1160"/>
      <c r="H280" s="1160"/>
      <c r="I280" s="1160"/>
      <c r="J280" s="1160"/>
      <c r="K280" s="1160"/>
      <c r="L280" s="1160"/>
      <c r="M280" s="1160"/>
      <c r="N280" s="1160"/>
      <c r="O280" s="1160"/>
      <c r="P280" s="1160"/>
      <c r="Q280" s="1160"/>
      <c r="R280" s="1160"/>
      <c r="S280" s="1160"/>
      <c r="T280" s="1160"/>
      <c r="U280" s="1160"/>
      <c r="V280" s="1160"/>
      <c r="W280" s="1160"/>
      <c r="X280" s="1160"/>
    </row>
  </sheetData>
  <dataConsolidate link="1"/>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heetViews>
  <sheetFormatPr defaultRowHeight="13.5"/>
  <cols>
    <col min="1" max="1" width="2.875" customWidth="1"/>
    <col min="2" max="35" width="2.625" style="65" customWidth="1"/>
  </cols>
  <sheetData>
    <row r="1" spans="1:35" ht="15.6" customHeight="1">
      <c r="A1" s="84"/>
      <c r="AH1" s="66" t="s">
        <v>581</v>
      </c>
      <c r="AI1" s="85"/>
    </row>
    <row r="2" spans="1:35" s="12" customFormat="1" ht="15.6" customHeight="1">
      <c r="A2" s="86"/>
      <c r="B2" s="62" t="s">
        <v>40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87"/>
    </row>
    <row r="3" spans="1:35" s="65" customFormat="1" ht="36" customHeight="1">
      <c r="A3" s="88"/>
      <c r="B3" s="1426" t="s">
        <v>582</v>
      </c>
      <c r="C3" s="1426"/>
      <c r="D3" s="1426"/>
      <c r="E3" s="1426"/>
      <c r="F3" s="1426" t="s">
        <v>583</v>
      </c>
      <c r="G3" s="1426"/>
      <c r="H3" s="1426"/>
      <c r="I3" s="1426"/>
      <c r="J3" s="1426"/>
      <c r="K3" s="1426"/>
      <c r="L3" s="1426" t="s">
        <v>584</v>
      </c>
      <c r="M3" s="1426"/>
      <c r="N3" s="1426"/>
      <c r="O3" s="1426"/>
      <c r="P3" s="1426"/>
      <c r="Q3" s="1426"/>
      <c r="R3" s="1426"/>
      <c r="S3" s="1426" t="s">
        <v>585</v>
      </c>
      <c r="T3" s="1426"/>
      <c r="U3" s="1426"/>
      <c r="V3" s="1426"/>
      <c r="W3" s="1426"/>
      <c r="X3" s="1426"/>
      <c r="Y3" s="1426"/>
      <c r="Z3" s="1426"/>
      <c r="AA3" s="1426"/>
      <c r="AB3" s="1426"/>
      <c r="AC3" s="1426" t="s">
        <v>586</v>
      </c>
      <c r="AD3" s="1426"/>
      <c r="AE3" s="1426"/>
      <c r="AF3" s="1426"/>
      <c r="AG3" s="1426"/>
      <c r="AH3" s="1426"/>
      <c r="AI3" s="85"/>
    </row>
    <row r="4" spans="1:35" s="65" customFormat="1" ht="46.9" customHeight="1">
      <c r="A4" s="88"/>
      <c r="B4" s="1428" t="s">
        <v>587</v>
      </c>
      <c r="C4" s="1429"/>
      <c r="D4" s="1429"/>
      <c r="E4" s="1430"/>
      <c r="F4" s="1431" t="s">
        <v>588</v>
      </c>
      <c r="G4" s="1431"/>
      <c r="H4" s="1431"/>
      <c r="I4" s="1431"/>
      <c r="J4" s="1431"/>
      <c r="K4" s="1431"/>
      <c r="L4" s="1432" t="s">
        <v>589</v>
      </c>
      <c r="M4" s="1433"/>
      <c r="N4" s="1433"/>
      <c r="O4" s="1433"/>
      <c r="P4" s="1433"/>
      <c r="Q4" s="1433"/>
      <c r="R4" s="1434"/>
      <c r="S4" s="1436" t="s">
        <v>590</v>
      </c>
      <c r="T4" s="1437"/>
      <c r="U4" s="1437"/>
      <c r="V4" s="1437"/>
      <c r="W4" s="1437"/>
      <c r="X4" s="1437"/>
      <c r="Y4" s="1437"/>
      <c r="Z4" s="1437"/>
      <c r="AA4" s="1437"/>
      <c r="AB4" s="1438"/>
      <c r="AC4" s="1432" t="s">
        <v>591</v>
      </c>
      <c r="AD4" s="1433"/>
      <c r="AE4" s="1433"/>
      <c r="AF4" s="1433"/>
      <c r="AG4" s="1433"/>
      <c r="AH4" s="1434"/>
      <c r="AI4" s="85"/>
    </row>
    <row r="5" spans="1:35" s="65" customFormat="1" ht="49.15" customHeight="1">
      <c r="A5" s="88"/>
      <c r="B5" s="1428" t="s">
        <v>592</v>
      </c>
      <c r="C5" s="1429"/>
      <c r="D5" s="1429"/>
      <c r="E5" s="1430"/>
      <c r="F5" s="1431" t="s">
        <v>593</v>
      </c>
      <c r="G5" s="1431"/>
      <c r="H5" s="1431"/>
      <c r="I5" s="1431"/>
      <c r="J5" s="1431"/>
      <c r="K5" s="1431"/>
      <c r="L5" s="1432" t="s">
        <v>589</v>
      </c>
      <c r="M5" s="1433"/>
      <c r="N5" s="1433"/>
      <c r="O5" s="1433"/>
      <c r="P5" s="1433"/>
      <c r="Q5" s="1433"/>
      <c r="R5" s="1434"/>
      <c r="S5" s="1436" t="s">
        <v>590</v>
      </c>
      <c r="T5" s="1437"/>
      <c r="U5" s="1437"/>
      <c r="V5" s="1437"/>
      <c r="W5" s="1437"/>
      <c r="X5" s="1437"/>
      <c r="Y5" s="1437"/>
      <c r="Z5" s="1437"/>
      <c r="AA5" s="1437"/>
      <c r="AB5" s="1438"/>
      <c r="AC5" s="1432" t="s">
        <v>591</v>
      </c>
      <c r="AD5" s="1433"/>
      <c r="AE5" s="1433"/>
      <c r="AF5" s="1433"/>
      <c r="AG5" s="1433"/>
      <c r="AH5" s="1434"/>
      <c r="AI5" s="85"/>
    </row>
    <row r="6" spans="1:35" s="65" customFormat="1" ht="54" customHeight="1">
      <c r="A6" s="88"/>
      <c r="B6" s="1426" t="s">
        <v>594</v>
      </c>
      <c r="C6" s="1426"/>
      <c r="D6" s="1426"/>
      <c r="E6" s="1426"/>
      <c r="F6" s="1427" t="s">
        <v>595</v>
      </c>
      <c r="G6" s="1427"/>
      <c r="H6" s="1427"/>
      <c r="I6" s="1427"/>
      <c r="J6" s="1427"/>
      <c r="K6" s="1427"/>
      <c r="L6" s="1427" t="s">
        <v>596</v>
      </c>
      <c r="M6" s="1427"/>
      <c r="N6" s="1427"/>
      <c r="O6" s="1427"/>
      <c r="P6" s="1427"/>
      <c r="Q6" s="1427"/>
      <c r="R6" s="1427"/>
      <c r="S6" s="1435" t="s">
        <v>597</v>
      </c>
      <c r="T6" s="1435"/>
      <c r="U6" s="1435"/>
      <c r="V6" s="1435"/>
      <c r="W6" s="1435"/>
      <c r="X6" s="1435"/>
      <c r="Y6" s="1435"/>
      <c r="Z6" s="1435"/>
      <c r="AA6" s="1435"/>
      <c r="AB6" s="1435"/>
      <c r="AC6" s="1427" t="s">
        <v>598</v>
      </c>
      <c r="AD6" s="1427"/>
      <c r="AE6" s="1427"/>
      <c r="AF6" s="1427"/>
      <c r="AG6" s="1427"/>
      <c r="AH6" s="1427"/>
      <c r="AI6" s="85"/>
    </row>
    <row r="7" spans="1:35" s="65" customFormat="1" ht="13.5" customHeight="1">
      <c r="A7" s="88"/>
      <c r="AI7" s="85"/>
    </row>
    <row r="8" spans="1:35" s="65" customFormat="1" ht="13.5" customHeight="1">
      <c r="A8" s="88"/>
      <c r="AI8" s="85"/>
    </row>
    <row r="9" spans="1:35">
      <c r="A9" s="84"/>
      <c r="AI9" s="85"/>
    </row>
    <row r="10" spans="1:35" s="65" customFormat="1" ht="13.5" customHeight="1">
      <c r="A10" s="88"/>
      <c r="AI10" s="85"/>
    </row>
    <row r="11" spans="1:35" s="65" customFormat="1" ht="13.5" customHeight="1">
      <c r="A11" s="88"/>
      <c r="AI11" s="85"/>
    </row>
    <row r="12" spans="1:35" s="65" customFormat="1" ht="13.5" customHeight="1">
      <c r="A12" s="88"/>
      <c r="AI12" s="85"/>
    </row>
    <row r="13" spans="1:35" s="65" customFormat="1" ht="13.5" customHeight="1">
      <c r="A13" s="88"/>
      <c r="AI13" s="85"/>
    </row>
    <row r="14" spans="1:35" s="65" customFormat="1" ht="13.5" customHeight="1">
      <c r="A14" s="88"/>
      <c r="AI14" s="85"/>
    </row>
    <row r="15" spans="1:35" s="65" customFormat="1" ht="13.5" customHeight="1">
      <c r="A15" s="88"/>
      <c r="AI15" s="85"/>
    </row>
    <row r="16" spans="1:35" s="65" customFormat="1" ht="13.5" customHeight="1">
      <c r="A16" s="88"/>
      <c r="AI16" s="85"/>
    </row>
    <row r="17" spans="1:88" s="65" customFormat="1" ht="13.5" customHeight="1">
      <c r="A17" s="88"/>
      <c r="AI17" s="85"/>
    </row>
    <row r="18" spans="1:88" s="65" customFormat="1" ht="13.5" customHeight="1">
      <c r="A18" s="88"/>
      <c r="AI18" s="85"/>
    </row>
    <row r="19" spans="1:88" s="65" customFormat="1" ht="13.5" customHeight="1">
      <c r="A19" s="88"/>
      <c r="AI19" s="85"/>
    </row>
    <row r="20" spans="1:88" s="65" customFormat="1" ht="13.5" customHeight="1">
      <c r="A20" s="88"/>
      <c r="AI20" s="85"/>
    </row>
    <row r="21" spans="1:88" s="65" customFormat="1" ht="13.5" customHeight="1">
      <c r="A21" s="88"/>
      <c r="AI21" s="85"/>
    </row>
    <row r="22" spans="1:88" s="65" customFormat="1" ht="13.5" customHeight="1">
      <c r="A22" s="88"/>
      <c r="AI22" s="85"/>
    </row>
    <row r="23" spans="1:88" s="65" customFormat="1" ht="13.5" customHeight="1">
      <c r="A23" s="88"/>
      <c r="AI23" s="85"/>
    </row>
    <row r="24" spans="1:88" s="65" customFormat="1">
      <c r="A24" s="84"/>
      <c r="AI24" s="85"/>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65" customFormat="1" ht="13.5" customHeight="1">
      <c r="A25" s="88"/>
      <c r="AI25" s="85"/>
    </row>
    <row r="26" spans="1:88" s="65" customFormat="1" ht="13.5" customHeight="1">
      <c r="A26" s="88"/>
      <c r="AI26" s="85"/>
    </row>
    <row r="27" spans="1:88" s="65" customFormat="1" ht="13.5" customHeight="1">
      <c r="A27" s="88"/>
      <c r="AI27" s="85"/>
    </row>
    <row r="28" spans="1:88" s="65" customFormat="1" ht="13.5" customHeight="1">
      <c r="A28" s="88"/>
      <c r="AI28" s="85"/>
    </row>
    <row r="29" spans="1:88" s="65" customFormat="1" ht="13.5" customHeight="1">
      <c r="A29" s="88"/>
      <c r="AI29" s="85"/>
    </row>
    <row r="30" spans="1:88" s="65" customFormat="1" ht="13.5" customHeight="1">
      <c r="A30" s="88"/>
      <c r="AI30" s="85"/>
    </row>
    <row r="31" spans="1:88" s="65" customFormat="1" ht="13.5" customHeight="1">
      <c r="A31" s="88"/>
      <c r="AI31" s="85"/>
    </row>
    <row r="32" spans="1:88" s="65" customFormat="1" ht="13.5" customHeight="1" thickBot="1">
      <c r="A32" s="8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1"/>
    </row>
    <row r="33" s="65" customFormat="1" ht="27" customHeight="1"/>
    <row r="34" s="65" customFormat="1" ht="13.5" customHeight="1"/>
    <row r="35" s="65" customFormat="1" ht="13.5" customHeight="1"/>
    <row r="36" s="65" customFormat="1" ht="13.5" customHeight="1"/>
    <row r="37" s="65" customFormat="1" ht="13.5" customHeight="1"/>
    <row r="38" s="65" customFormat="1" ht="13.5" customHeight="1"/>
    <row r="39" s="65" customFormat="1"/>
    <row r="40" s="65" customFormat="1" ht="13.5" customHeigh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13.5" customHeight="1"/>
    <row r="50" s="65" customFormat="1" ht="13.5" customHeight="1"/>
    <row r="51" s="65" customFormat="1" ht="13.5" customHeight="1"/>
    <row r="52" s="65" customFormat="1" ht="27" customHeight="1"/>
    <row r="53" s="65" customFormat="1" ht="13.5" customHeight="1"/>
    <row r="54" s="65" customFormat="1" ht="27" customHeight="1"/>
    <row r="55" s="65" customFormat="1" ht="13.5" customHeight="1"/>
    <row r="56" s="65" customFormat="1" ht="13.5" customHeight="1"/>
    <row r="57" s="65" customFormat="1" ht="13.5" customHeight="1"/>
    <row r="58" s="65" customFormat="1" ht="13.5" customHeight="1"/>
    <row r="59" s="65" customFormat="1" ht="13.5" customHeight="1"/>
    <row r="60" s="65" customFormat="1" ht="13.5" customHeight="1"/>
    <row r="61" s="65" customFormat="1" ht="13.5" customHeight="1"/>
    <row r="62" s="65" customFormat="1" ht="13.5" customHeight="1"/>
    <row r="63" s="65" customFormat="1" ht="13.5" customHeight="1"/>
    <row r="64" s="65" customFormat="1" ht="27" customHeight="1"/>
    <row r="65" s="65" customFormat="1" ht="27" customHeight="1"/>
    <row r="68" s="65" customFormat="1"/>
    <row r="69" s="65"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heetViews>
  <sheetFormatPr defaultRowHeight="13.5"/>
  <cols>
    <col min="1" max="53" width="2.875" customWidth="1"/>
  </cols>
  <sheetData>
    <row r="1" spans="1:47" s="12"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72" t="s">
        <v>599</v>
      </c>
      <c r="AU1" s="61"/>
    </row>
    <row r="2" spans="1:47" s="12" customFormat="1" ht="21.95" customHeight="1">
      <c r="A2" s="395" t="s">
        <v>250</v>
      </c>
      <c r="B2" s="67"/>
      <c r="C2" s="569">
        <v>7</v>
      </c>
      <c r="D2" s="395" t="s">
        <v>600</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1"/>
    </row>
    <row r="3" spans="1:47" s="12" customFormat="1" ht="36" customHeight="1">
      <c r="A3" s="1092" t="s">
        <v>601</v>
      </c>
      <c r="B3" s="1451"/>
      <c r="C3" s="1451"/>
      <c r="D3" s="1452"/>
      <c r="E3" s="1452"/>
      <c r="F3" s="1452"/>
      <c r="G3" s="1452"/>
      <c r="H3" s="1452"/>
      <c r="I3" s="1452"/>
      <c r="J3" s="1452"/>
      <c r="K3" s="1452"/>
      <c r="L3" s="1092" t="s">
        <v>602</v>
      </c>
      <c r="M3" s="1451"/>
      <c r="N3" s="1451"/>
      <c r="O3" s="1475" t="str">
        <f>はじめに!D3</f>
        <v>広島県</v>
      </c>
      <c r="P3" s="1475"/>
      <c r="Q3" s="1475"/>
      <c r="R3" s="1475"/>
      <c r="S3" s="1475"/>
      <c r="T3" s="1475"/>
      <c r="U3" s="1451" t="s">
        <v>603</v>
      </c>
      <c r="V3" s="1451"/>
      <c r="W3" s="1451"/>
      <c r="X3" s="1451"/>
      <c r="Y3" s="1451"/>
      <c r="Z3" s="1476"/>
      <c r="AA3" s="1476"/>
      <c r="AB3" s="1476"/>
      <c r="AC3" s="1476"/>
      <c r="AD3" s="1476"/>
      <c r="AE3" s="1476"/>
      <c r="AF3" s="1476"/>
      <c r="AG3" s="1476"/>
      <c r="AH3" s="1476"/>
      <c r="AI3" s="1476"/>
      <c r="AJ3" s="1451" t="s">
        <v>604</v>
      </c>
      <c r="AK3" s="1451"/>
      <c r="AL3" s="1451"/>
      <c r="AM3" s="1451"/>
      <c r="AN3" s="1452"/>
      <c r="AO3" s="1452"/>
      <c r="AP3" s="1452"/>
      <c r="AQ3" s="1452"/>
      <c r="AR3" s="1452"/>
      <c r="AS3" s="1452"/>
      <c r="AT3" s="1452"/>
    </row>
    <row r="4" spans="1:47" s="12" customFormat="1" ht="18" customHeight="1">
      <c r="A4" s="1453" t="s">
        <v>605</v>
      </c>
      <c r="B4" s="1454"/>
      <c r="C4" s="1459"/>
      <c r="D4" s="1459"/>
      <c r="E4" s="1459"/>
      <c r="F4" s="989" t="s">
        <v>606</v>
      </c>
      <c r="G4" s="989"/>
      <c r="H4" s="990"/>
      <c r="I4" s="1463" t="s">
        <v>607</v>
      </c>
      <c r="J4" s="1464"/>
      <c r="K4" s="1464"/>
      <c r="L4" s="1464"/>
      <c r="M4" s="1464"/>
      <c r="N4" s="1464"/>
      <c r="O4" s="1464"/>
      <c r="P4" s="1464"/>
      <c r="Q4" s="1464"/>
      <c r="R4" s="1464"/>
      <c r="S4" s="1464"/>
      <c r="T4" s="1464"/>
      <c r="U4" s="1464"/>
      <c r="V4" s="1465"/>
      <c r="W4" s="1466" t="s">
        <v>608</v>
      </c>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row>
    <row r="5" spans="1:47" s="12" customFormat="1" ht="18" customHeight="1">
      <c r="A5" s="1455"/>
      <c r="B5" s="1456"/>
      <c r="C5" s="1460"/>
      <c r="D5" s="1460"/>
      <c r="E5" s="1460"/>
      <c r="F5" s="1461"/>
      <c r="G5" s="1461"/>
      <c r="H5" s="1462"/>
      <c r="I5" s="1467" t="s">
        <v>609</v>
      </c>
      <c r="J5" s="1468"/>
      <c r="K5" s="1468"/>
      <c r="L5" s="1468"/>
      <c r="M5" s="1468"/>
      <c r="N5" s="1468"/>
      <c r="O5" s="1468"/>
      <c r="P5" s="1468"/>
      <c r="Q5" s="1468"/>
      <c r="R5" s="1468"/>
      <c r="S5" s="1468"/>
      <c r="T5" s="1468"/>
      <c r="U5" s="1468"/>
      <c r="V5" s="1472"/>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c r="AT5" s="1466"/>
      <c r="AU5"/>
    </row>
    <row r="6" spans="1:47" s="12" customFormat="1" ht="18" customHeight="1">
      <c r="A6" s="1455"/>
      <c r="B6" s="1456"/>
      <c r="C6" s="1460"/>
      <c r="D6" s="1460"/>
      <c r="E6" s="1460"/>
      <c r="F6" s="65"/>
      <c r="G6" s="65"/>
      <c r="H6" s="73"/>
      <c r="I6" s="1469"/>
      <c r="J6" s="842"/>
      <c r="K6" s="842"/>
      <c r="L6" s="1428" t="s">
        <v>610</v>
      </c>
      <c r="M6" s="989"/>
      <c r="N6" s="989"/>
      <c r="O6" s="989"/>
      <c r="P6" s="989"/>
      <c r="Q6" s="989"/>
      <c r="R6" s="989"/>
      <c r="S6" s="989"/>
      <c r="T6" s="989"/>
      <c r="U6" s="989"/>
      <c r="V6" s="990"/>
      <c r="W6" s="1477" t="s">
        <v>611</v>
      </c>
      <c r="X6" s="1478"/>
      <c r="Y6" s="1478"/>
      <c r="Z6" s="1478"/>
      <c r="AA6" s="1478"/>
      <c r="AB6" s="1478"/>
      <c r="AC6" s="1478"/>
      <c r="AD6" s="1478"/>
      <c r="AE6" s="1478"/>
      <c r="AF6" s="1478"/>
      <c r="AG6" s="1478"/>
      <c r="AH6" s="1478"/>
      <c r="AI6" s="1478"/>
      <c r="AJ6" s="1478"/>
      <c r="AK6" s="1478"/>
      <c r="AL6" s="1478"/>
      <c r="AM6" s="1478"/>
      <c r="AN6" s="1479"/>
      <c r="AO6" s="1483" t="s">
        <v>611</v>
      </c>
      <c r="AP6" s="1483"/>
      <c r="AQ6" s="1483"/>
      <c r="AR6" s="1483"/>
      <c r="AS6" s="1483"/>
      <c r="AT6" s="1483"/>
      <c r="AU6"/>
    </row>
    <row r="7" spans="1:47" s="12" customFormat="1" ht="18" customHeight="1">
      <c r="A7" s="1455"/>
      <c r="B7" s="1456"/>
      <c r="C7" s="65"/>
      <c r="D7" s="65"/>
      <c r="E7" s="65"/>
      <c r="F7" s="1484"/>
      <c r="G7" s="1484"/>
      <c r="H7" s="1485"/>
      <c r="I7" s="1469"/>
      <c r="J7" s="842"/>
      <c r="K7" s="842"/>
      <c r="L7" s="1473"/>
      <c r="M7" s="1461"/>
      <c r="N7" s="1461"/>
      <c r="O7" s="1461"/>
      <c r="P7" s="1467" t="s">
        <v>612</v>
      </c>
      <c r="Q7" s="1468"/>
      <c r="R7" s="1468"/>
      <c r="S7" s="1468"/>
      <c r="T7" s="1468"/>
      <c r="U7" s="1468"/>
      <c r="V7" s="1472"/>
      <c r="W7" s="1480"/>
      <c r="X7" s="1481"/>
      <c r="Y7" s="1481"/>
      <c r="Z7" s="1481"/>
      <c r="AA7" s="1481"/>
      <c r="AB7" s="1481"/>
      <c r="AC7" s="1481"/>
      <c r="AD7" s="1481"/>
      <c r="AE7" s="1481"/>
      <c r="AF7" s="1481"/>
      <c r="AG7" s="1481"/>
      <c r="AH7" s="1481"/>
      <c r="AI7" s="1481"/>
      <c r="AJ7" s="1481"/>
      <c r="AK7" s="1481"/>
      <c r="AL7" s="1481"/>
      <c r="AM7" s="1481"/>
      <c r="AN7" s="1482"/>
      <c r="AO7" s="1483"/>
      <c r="AP7" s="1483"/>
      <c r="AQ7" s="1483"/>
      <c r="AR7" s="1483"/>
      <c r="AS7" s="1483"/>
      <c r="AT7" s="1483"/>
      <c r="AU7"/>
    </row>
    <row r="8" spans="1:47" s="12" customFormat="1" ht="18" customHeight="1">
      <c r="A8" s="1455"/>
      <c r="B8" s="1456"/>
      <c r="C8" s="1461" t="s">
        <v>606</v>
      </c>
      <c r="D8" s="1461"/>
      <c r="E8" s="1461"/>
      <c r="F8" s="1484"/>
      <c r="G8" s="1484"/>
      <c r="H8" s="1485"/>
      <c r="I8" s="1469"/>
      <c r="J8" s="842"/>
      <c r="K8" s="842"/>
      <c r="L8" s="1473"/>
      <c r="M8" s="1461"/>
      <c r="N8" s="1461"/>
      <c r="O8" s="1461"/>
      <c r="P8" s="1488"/>
      <c r="Q8" s="842"/>
      <c r="R8" s="842"/>
      <c r="S8" s="842"/>
      <c r="T8" s="842"/>
      <c r="U8" s="842"/>
      <c r="V8" s="1489"/>
      <c r="W8" s="1466" t="s">
        <v>613</v>
      </c>
      <c r="X8" s="1466"/>
      <c r="Y8" s="1466" t="s">
        <v>614</v>
      </c>
      <c r="Z8" s="1466"/>
      <c r="AA8" s="1466" t="s">
        <v>615</v>
      </c>
      <c r="AB8" s="1466"/>
      <c r="AC8" s="1466" t="s">
        <v>616</v>
      </c>
      <c r="AD8" s="1466"/>
      <c r="AE8" s="1466" t="s">
        <v>617</v>
      </c>
      <c r="AF8" s="1466"/>
      <c r="AG8" s="1466" t="s">
        <v>618</v>
      </c>
      <c r="AH8" s="1466"/>
      <c r="AI8" s="1466" t="s">
        <v>619</v>
      </c>
      <c r="AJ8" s="1466"/>
      <c r="AK8" s="1466" t="s">
        <v>620</v>
      </c>
      <c r="AL8" s="1466"/>
      <c r="AM8" s="1466" t="s">
        <v>621</v>
      </c>
      <c r="AN8" s="1466"/>
      <c r="AO8" s="1466" t="s">
        <v>622</v>
      </c>
      <c r="AP8" s="1466"/>
      <c r="AQ8" s="1466" t="s">
        <v>623</v>
      </c>
      <c r="AR8" s="1466"/>
      <c r="AS8" s="1466" t="s">
        <v>624</v>
      </c>
      <c r="AT8" s="1466"/>
      <c r="AU8"/>
    </row>
    <row r="9" spans="1:47" s="12" customFormat="1" ht="18" customHeight="1">
      <c r="A9" s="1455"/>
      <c r="B9" s="1456"/>
      <c r="C9" s="991"/>
      <c r="D9" s="991"/>
      <c r="E9" s="991"/>
      <c r="F9" s="1486"/>
      <c r="G9" s="1486"/>
      <c r="H9" s="1487"/>
      <c r="I9" s="1470"/>
      <c r="J9" s="1471"/>
      <c r="K9" s="1471"/>
      <c r="L9" s="1474"/>
      <c r="M9" s="991"/>
      <c r="N9" s="991"/>
      <c r="O9" s="991"/>
      <c r="P9" s="1470"/>
      <c r="Q9" s="1471"/>
      <c r="R9" s="1471"/>
      <c r="S9" s="1471"/>
      <c r="T9" s="1471"/>
      <c r="U9" s="1471"/>
      <c r="V9" s="1490"/>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c r="AT9" s="1466"/>
      <c r="AU9"/>
    </row>
    <row r="10" spans="1:47" s="12" customFormat="1" ht="18" customHeight="1">
      <c r="A10" s="1455"/>
      <c r="B10" s="1456"/>
      <c r="C10" s="1476" t="s">
        <v>625</v>
      </c>
      <c r="D10" s="1476"/>
      <c r="E10" s="1476"/>
      <c r="F10" s="1476"/>
      <c r="G10" s="1476"/>
      <c r="H10" s="1476"/>
      <c r="I10" s="1442"/>
      <c r="J10" s="1443"/>
      <c r="K10" s="1444"/>
      <c r="L10" s="1442"/>
      <c r="M10" s="1443"/>
      <c r="N10" s="1443"/>
      <c r="O10" s="1444"/>
      <c r="P10" s="1442"/>
      <c r="Q10" s="1443"/>
      <c r="R10" s="1443"/>
      <c r="S10" s="1443"/>
      <c r="T10" s="1443"/>
      <c r="U10" s="1443"/>
      <c r="V10" s="1444"/>
      <c r="W10" s="570"/>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2"/>
      <c r="AU10" s="61"/>
    </row>
    <row r="11" spans="1:47" s="12" customFormat="1" ht="18" customHeight="1">
      <c r="A11" s="1455"/>
      <c r="B11" s="1456"/>
      <c r="C11" s="1476"/>
      <c r="D11" s="1476"/>
      <c r="E11" s="1476"/>
      <c r="F11" s="1476"/>
      <c r="G11" s="1476"/>
      <c r="H11" s="1476"/>
      <c r="I11" s="1445"/>
      <c r="J11" s="1446"/>
      <c r="K11" s="1447"/>
      <c r="L11" s="1445"/>
      <c r="M11" s="1446"/>
      <c r="N11" s="1446"/>
      <c r="O11" s="1447"/>
      <c r="P11" s="1445"/>
      <c r="Q11" s="1446"/>
      <c r="R11" s="1446"/>
      <c r="S11" s="1446"/>
      <c r="T11" s="1446"/>
      <c r="U11" s="1446"/>
      <c r="V11" s="1447"/>
      <c r="W11" s="573"/>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5"/>
      <c r="AU11"/>
    </row>
    <row r="12" spans="1:47" s="12" customFormat="1" ht="18" customHeight="1">
      <c r="A12" s="1455"/>
      <c r="B12" s="1456"/>
      <c r="C12" s="1476"/>
      <c r="D12" s="1476"/>
      <c r="E12" s="1476"/>
      <c r="F12" s="1476"/>
      <c r="G12" s="1476"/>
      <c r="H12" s="1476"/>
      <c r="I12" s="1448"/>
      <c r="J12" s="1449"/>
      <c r="K12" s="1450"/>
      <c r="L12" s="1448"/>
      <c r="M12" s="1449"/>
      <c r="N12" s="1449"/>
      <c r="O12" s="1450"/>
      <c r="P12" s="1448"/>
      <c r="Q12" s="1449"/>
      <c r="R12" s="1449"/>
      <c r="S12" s="1449"/>
      <c r="T12" s="1449"/>
      <c r="U12" s="1449"/>
      <c r="V12" s="1450"/>
      <c r="W12" s="573"/>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5"/>
      <c r="AU12" s="61"/>
    </row>
    <row r="13" spans="1:47" s="12" customFormat="1" ht="18" customHeight="1">
      <c r="A13" s="1455"/>
      <c r="B13" s="1456"/>
      <c r="C13" s="1476" t="s">
        <v>625</v>
      </c>
      <c r="D13" s="1476"/>
      <c r="E13" s="1476"/>
      <c r="F13" s="1476"/>
      <c r="G13" s="1476"/>
      <c r="H13" s="1476"/>
      <c r="I13" s="1442"/>
      <c r="J13" s="1443"/>
      <c r="K13" s="1444"/>
      <c r="L13" s="1442"/>
      <c r="M13" s="1443"/>
      <c r="N13" s="1443"/>
      <c r="O13" s="1444"/>
      <c r="P13" s="1442"/>
      <c r="Q13" s="1443"/>
      <c r="R13" s="1443"/>
      <c r="S13" s="1443"/>
      <c r="T13" s="1443"/>
      <c r="U13" s="1443"/>
      <c r="V13" s="1444"/>
      <c r="W13" s="573"/>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5"/>
      <c r="AU13"/>
    </row>
    <row r="14" spans="1:47" s="12" customFormat="1" ht="18" customHeight="1">
      <c r="A14" s="1455"/>
      <c r="B14" s="1456"/>
      <c r="C14" s="1476"/>
      <c r="D14" s="1476"/>
      <c r="E14" s="1476"/>
      <c r="F14" s="1476"/>
      <c r="G14" s="1476"/>
      <c r="H14" s="1476"/>
      <c r="I14" s="1445"/>
      <c r="J14" s="1446"/>
      <c r="K14" s="1447"/>
      <c r="L14" s="1445"/>
      <c r="M14" s="1446"/>
      <c r="N14" s="1446"/>
      <c r="O14" s="1447"/>
      <c r="P14" s="1445"/>
      <c r="Q14" s="1446"/>
      <c r="R14" s="1446"/>
      <c r="S14" s="1446"/>
      <c r="T14" s="1446"/>
      <c r="U14" s="1446"/>
      <c r="V14" s="1447"/>
      <c r="W14" s="573"/>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5"/>
      <c r="AU14" s="61"/>
    </row>
    <row r="15" spans="1:47" s="12" customFormat="1" ht="18" customHeight="1">
      <c r="A15" s="1455"/>
      <c r="B15" s="1456"/>
      <c r="C15" s="1476"/>
      <c r="D15" s="1476"/>
      <c r="E15" s="1476"/>
      <c r="F15" s="1476"/>
      <c r="G15" s="1476"/>
      <c r="H15" s="1476"/>
      <c r="I15" s="1448"/>
      <c r="J15" s="1449"/>
      <c r="K15" s="1450"/>
      <c r="L15" s="1448"/>
      <c r="M15" s="1449"/>
      <c r="N15" s="1449"/>
      <c r="O15" s="1450"/>
      <c r="P15" s="1448"/>
      <c r="Q15" s="1449"/>
      <c r="R15" s="1449"/>
      <c r="S15" s="1449"/>
      <c r="T15" s="1449"/>
      <c r="U15" s="1449"/>
      <c r="V15" s="1450"/>
      <c r="W15" s="573"/>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5"/>
      <c r="AU15"/>
    </row>
    <row r="16" spans="1:47" s="12" customFormat="1" ht="18" customHeight="1">
      <c r="A16" s="1455"/>
      <c r="B16" s="1456"/>
      <c r="C16" s="1476" t="s">
        <v>625</v>
      </c>
      <c r="D16" s="1476"/>
      <c r="E16" s="1476"/>
      <c r="F16" s="1476"/>
      <c r="G16" s="1476"/>
      <c r="H16" s="1476"/>
      <c r="I16" s="1442"/>
      <c r="J16" s="1443"/>
      <c r="K16" s="1444"/>
      <c r="L16" s="1442"/>
      <c r="M16" s="1443"/>
      <c r="N16" s="1443"/>
      <c r="O16" s="1444"/>
      <c r="P16" s="1442"/>
      <c r="Q16" s="1443"/>
      <c r="R16" s="1443"/>
      <c r="S16" s="1443"/>
      <c r="T16" s="1443"/>
      <c r="U16" s="1443"/>
      <c r="V16" s="1444"/>
      <c r="W16" s="573"/>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5"/>
      <c r="AU16" s="61"/>
    </row>
    <row r="17" spans="1:51" s="12" customFormat="1" ht="18" customHeight="1">
      <c r="A17" s="1455"/>
      <c r="B17" s="1456"/>
      <c r="C17" s="1476"/>
      <c r="D17" s="1476"/>
      <c r="E17" s="1476"/>
      <c r="F17" s="1476"/>
      <c r="G17" s="1476"/>
      <c r="H17" s="1476"/>
      <c r="I17" s="1445"/>
      <c r="J17" s="1446"/>
      <c r="K17" s="1447"/>
      <c r="L17" s="1445"/>
      <c r="M17" s="1446"/>
      <c r="N17" s="1446"/>
      <c r="O17" s="1447"/>
      <c r="P17" s="1445"/>
      <c r="Q17" s="1446"/>
      <c r="R17" s="1446"/>
      <c r="S17" s="1446"/>
      <c r="T17" s="1446"/>
      <c r="U17" s="1446"/>
      <c r="V17" s="1447"/>
      <c r="W17" s="573"/>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5"/>
      <c r="AU17"/>
    </row>
    <row r="18" spans="1:51" s="12" customFormat="1" ht="18" customHeight="1">
      <c r="A18" s="1455"/>
      <c r="B18" s="1456"/>
      <c r="C18" s="1476"/>
      <c r="D18" s="1476"/>
      <c r="E18" s="1476"/>
      <c r="F18" s="1476"/>
      <c r="G18" s="1476"/>
      <c r="H18" s="1476"/>
      <c r="I18" s="1448"/>
      <c r="J18" s="1449"/>
      <c r="K18" s="1450"/>
      <c r="L18" s="1448"/>
      <c r="M18" s="1449"/>
      <c r="N18" s="1449"/>
      <c r="O18" s="1450"/>
      <c r="P18" s="1448"/>
      <c r="Q18" s="1449"/>
      <c r="R18" s="1449"/>
      <c r="S18" s="1449"/>
      <c r="T18" s="1449"/>
      <c r="U18" s="1449"/>
      <c r="V18" s="1450"/>
      <c r="W18" s="573"/>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5"/>
      <c r="AU18" s="61"/>
    </row>
    <row r="19" spans="1:51" s="12" customFormat="1" ht="18" customHeight="1">
      <c r="A19" s="1455"/>
      <c r="B19" s="1456"/>
      <c r="C19" s="1476"/>
      <c r="D19" s="1476"/>
      <c r="E19" s="1476"/>
      <c r="F19" s="1476"/>
      <c r="G19" s="1476"/>
      <c r="H19" s="1476"/>
      <c r="I19" s="1442"/>
      <c r="J19" s="1443"/>
      <c r="K19" s="1444"/>
      <c r="L19" s="1442"/>
      <c r="M19" s="1443"/>
      <c r="N19" s="1443"/>
      <c r="O19" s="1444"/>
      <c r="P19" s="1442"/>
      <c r="Q19" s="1443"/>
      <c r="R19" s="1443"/>
      <c r="S19" s="1443"/>
      <c r="T19" s="1443"/>
      <c r="U19" s="1443"/>
      <c r="V19" s="1444"/>
      <c r="W19" s="573"/>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5"/>
      <c r="AU19"/>
    </row>
    <row r="20" spans="1:51" s="12" customFormat="1" ht="18" customHeight="1">
      <c r="A20" s="1455"/>
      <c r="B20" s="1456"/>
      <c r="C20" s="1476"/>
      <c r="D20" s="1476"/>
      <c r="E20" s="1476"/>
      <c r="F20" s="1476"/>
      <c r="G20" s="1476"/>
      <c r="H20" s="1476"/>
      <c r="I20" s="1445"/>
      <c r="J20" s="1446"/>
      <c r="K20" s="1447"/>
      <c r="L20" s="1445"/>
      <c r="M20" s="1446"/>
      <c r="N20" s="1446"/>
      <c r="O20" s="1447"/>
      <c r="P20" s="1445"/>
      <c r="Q20" s="1446"/>
      <c r="R20" s="1446"/>
      <c r="S20" s="1446"/>
      <c r="T20" s="1446"/>
      <c r="U20" s="1446"/>
      <c r="V20" s="1447"/>
      <c r="W20" s="573"/>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5"/>
      <c r="AU20" s="61"/>
    </row>
    <row r="21" spans="1:51" s="12" customFormat="1" ht="18" customHeight="1">
      <c r="A21" s="1455"/>
      <c r="B21" s="1456"/>
      <c r="C21" s="1476"/>
      <c r="D21" s="1476"/>
      <c r="E21" s="1476"/>
      <c r="F21" s="1476"/>
      <c r="G21" s="1476"/>
      <c r="H21" s="1476"/>
      <c r="I21" s="1448"/>
      <c r="J21" s="1449"/>
      <c r="K21" s="1450"/>
      <c r="L21" s="1448"/>
      <c r="M21" s="1449"/>
      <c r="N21" s="1449"/>
      <c r="O21" s="1450"/>
      <c r="P21" s="1448"/>
      <c r="Q21" s="1449"/>
      <c r="R21" s="1449"/>
      <c r="S21" s="1449"/>
      <c r="T21" s="1449"/>
      <c r="U21" s="1449"/>
      <c r="V21" s="1450"/>
      <c r="W21" s="576"/>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8"/>
      <c r="AU21"/>
    </row>
    <row r="22" spans="1:51" s="12" customFormat="1" ht="36" customHeight="1">
      <c r="A22" s="1457"/>
      <c r="B22" s="1458"/>
      <c r="C22" s="1452" t="s">
        <v>258</v>
      </c>
      <c r="D22" s="1452"/>
      <c r="E22" s="1452"/>
      <c r="F22" s="1452"/>
      <c r="G22" s="1452"/>
      <c r="H22" s="1452"/>
      <c r="I22" s="1452"/>
      <c r="J22" s="1452"/>
      <c r="K22" s="1452"/>
      <c r="L22" s="1452"/>
      <c r="M22" s="1452"/>
      <c r="N22" s="1452"/>
      <c r="O22" s="1452"/>
      <c r="P22" s="1452"/>
      <c r="Q22" s="1452"/>
      <c r="R22" s="1452"/>
      <c r="S22" s="1452"/>
      <c r="T22" s="1452"/>
      <c r="U22" s="1452"/>
      <c r="V22" s="1452"/>
      <c r="W22" s="1439"/>
      <c r="X22" s="1440"/>
      <c r="Y22" s="1440"/>
      <c r="Z22" s="1440"/>
      <c r="AA22" s="1440"/>
      <c r="AB22" s="1440"/>
      <c r="AC22" s="1440"/>
      <c r="AD22" s="1440"/>
      <c r="AE22" s="1440"/>
      <c r="AF22" s="1440"/>
      <c r="AG22" s="1440"/>
      <c r="AH22" s="1440"/>
      <c r="AI22" s="1440"/>
      <c r="AJ22" s="1440"/>
      <c r="AK22" s="1440"/>
      <c r="AL22" s="1440"/>
      <c r="AM22" s="1440"/>
      <c r="AN22" s="1440"/>
      <c r="AO22" s="1440"/>
      <c r="AP22" s="1440"/>
      <c r="AQ22" s="1440"/>
      <c r="AR22" s="1440"/>
      <c r="AS22" s="1440"/>
      <c r="AT22" s="1441"/>
      <c r="AU22" s="61"/>
    </row>
    <row r="23" spans="1:51" s="12" customFormat="1" ht="18" customHeight="1">
      <c r="A23" s="62" t="s">
        <v>626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row>
    <row r="24" spans="1:51" s="12" customFormat="1" ht="18" customHeight="1">
      <c r="A24" s="62" t="s">
        <v>627</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1"/>
    </row>
    <row r="25" spans="1:51" s="12" customFormat="1" ht="18" customHeight="1">
      <c r="A25" s="62" t="s">
        <v>628</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row>
    <row r="26" spans="1:51" s="12" customFormat="1" ht="18" customHeight="1">
      <c r="A26" s="62"/>
      <c r="B26" s="62"/>
      <c r="C26" s="62" t="s">
        <v>629</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1"/>
    </row>
    <row r="27" spans="1:51" s="12" customFormat="1" ht="18"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row>
    <row r="28" spans="1:51" s="12" customFormat="1" ht="18" customHeight="1">
      <c r="AU28" s="61"/>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4"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3"/>
      <c r="AW30" s="63"/>
      <c r="AX30" s="63"/>
      <c r="AY30" s="63"/>
    </row>
    <row r="31" spans="1:51" s="64"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3"/>
      <c r="AW31" s="63"/>
      <c r="AX31" s="63"/>
      <c r="AY31" s="63"/>
    </row>
    <row r="32" spans="1:51" s="64"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4"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3"/>
      <c r="AW33" s="63"/>
      <c r="AX33" s="63"/>
      <c r="AY33" s="63"/>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T136"/>
  <sheetViews>
    <sheetView showGridLines="0" view="pageBreakPreview" zoomScale="90" zoomScaleNormal="100" zoomScaleSheetLayoutView="90" workbookViewId="0"/>
  </sheetViews>
  <sheetFormatPr defaultRowHeight="13.5"/>
  <cols>
    <col min="1" max="46" width="2.625" style="65" customWidth="1"/>
  </cols>
  <sheetData>
    <row r="1" spans="1:33" ht="15.6"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6" t="s">
        <v>630</v>
      </c>
    </row>
    <row r="2" spans="1:33" ht="15.6"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6"/>
    </row>
    <row r="3" spans="1:33" s="65" customFormat="1" ht="15.6" customHeight="1">
      <c r="A3" s="842" t="s">
        <v>46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row>
    <row r="4" spans="1:33" s="65" customFormat="1" ht="15.6"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row>
    <row r="5" spans="1:33" s="65" customFormat="1" ht="24" customHeight="1">
      <c r="A5" s="1451" t="s">
        <v>631</v>
      </c>
      <c r="B5" s="1451"/>
      <c r="C5" s="1451"/>
      <c r="D5" s="1451"/>
      <c r="E5" s="1451"/>
      <c r="F5" s="1451"/>
      <c r="G5" s="1451"/>
      <c r="H5" s="1451"/>
      <c r="I5" s="1451"/>
      <c r="J5" s="1451"/>
      <c r="K5" s="1451"/>
      <c r="L5" s="1451"/>
      <c r="M5" s="1451"/>
      <c r="N5" s="1451" t="s">
        <v>632</v>
      </c>
      <c r="O5" s="1451"/>
      <c r="P5" s="1451"/>
      <c r="Q5" s="1451"/>
      <c r="R5" s="1451"/>
      <c r="S5" s="1451"/>
      <c r="T5" s="1451"/>
      <c r="U5" s="1451"/>
      <c r="V5" s="1451"/>
      <c r="W5" s="1451"/>
      <c r="X5" s="1451"/>
      <c r="Y5" s="1451"/>
      <c r="Z5" s="1451"/>
      <c r="AA5" s="1078"/>
      <c r="AB5" s="1078"/>
      <c r="AC5" s="1078"/>
      <c r="AD5" s="1078"/>
      <c r="AE5" s="1078"/>
      <c r="AF5" s="1078"/>
      <c r="AG5" s="1469"/>
    </row>
    <row r="6" spans="1:33" s="65" customFormat="1" ht="36" customHeight="1">
      <c r="A6" s="1491" t="s">
        <v>1794</v>
      </c>
      <c r="B6" s="1492"/>
      <c r="C6" s="1492"/>
      <c r="D6" s="1492"/>
      <c r="E6" s="1492"/>
      <c r="F6" s="1492"/>
      <c r="G6" s="1492"/>
      <c r="H6" s="1492"/>
      <c r="I6" s="1492"/>
      <c r="J6" s="1492"/>
      <c r="K6" s="1492"/>
      <c r="L6" s="1492"/>
      <c r="M6" s="1493"/>
      <c r="N6" s="1491" t="s">
        <v>1787</v>
      </c>
      <c r="O6" s="1492"/>
      <c r="P6" s="1492"/>
      <c r="Q6" s="1492"/>
      <c r="R6" s="1492"/>
      <c r="S6" s="1492"/>
      <c r="T6" s="1492"/>
      <c r="U6" s="1492"/>
      <c r="V6" s="1492"/>
      <c r="W6" s="1492"/>
      <c r="X6" s="1492"/>
      <c r="Y6" s="1492"/>
      <c r="Z6" s="1493"/>
      <c r="AA6" s="1497"/>
      <c r="AB6" s="1497"/>
      <c r="AC6" s="1497"/>
      <c r="AD6" s="1497"/>
      <c r="AE6" s="1497"/>
      <c r="AF6" s="1497"/>
      <c r="AG6" s="1498"/>
    </row>
    <row r="7" spans="1:33" ht="36" customHeight="1">
      <c r="A7" s="1491" t="s">
        <v>1795</v>
      </c>
      <c r="B7" s="1492"/>
      <c r="C7" s="1492"/>
      <c r="D7" s="1492"/>
      <c r="E7" s="1492"/>
      <c r="F7" s="1492"/>
      <c r="G7" s="1492"/>
      <c r="H7" s="1492"/>
      <c r="I7" s="1492"/>
      <c r="J7" s="1492"/>
      <c r="K7" s="1492"/>
      <c r="L7" s="1492"/>
      <c r="M7" s="1493"/>
      <c r="N7" s="1491" t="s">
        <v>1787</v>
      </c>
      <c r="O7" s="1492"/>
      <c r="P7" s="1492"/>
      <c r="Q7" s="1492"/>
      <c r="R7" s="1492"/>
      <c r="S7" s="1492"/>
      <c r="T7" s="1492"/>
      <c r="U7" s="1492"/>
      <c r="V7" s="1492"/>
      <c r="W7" s="1492"/>
      <c r="X7" s="1492"/>
      <c r="Y7" s="1492"/>
      <c r="Z7" s="1493"/>
      <c r="AA7" s="1497"/>
      <c r="AB7" s="1497"/>
      <c r="AC7" s="1497"/>
      <c r="AD7" s="1497"/>
      <c r="AE7" s="1497"/>
      <c r="AF7" s="1497"/>
      <c r="AG7" s="1498"/>
    </row>
    <row r="8" spans="1:33" s="65" customFormat="1" ht="36" customHeight="1">
      <c r="A8" s="1491" t="s">
        <v>1796</v>
      </c>
      <c r="B8" s="1492"/>
      <c r="C8" s="1492"/>
      <c r="D8" s="1492"/>
      <c r="E8" s="1492"/>
      <c r="F8" s="1492"/>
      <c r="G8" s="1492"/>
      <c r="H8" s="1492"/>
      <c r="I8" s="1492"/>
      <c r="J8" s="1492"/>
      <c r="K8" s="1492"/>
      <c r="L8" s="1492"/>
      <c r="M8" s="1493"/>
      <c r="N8" s="1491" t="s">
        <v>1787</v>
      </c>
      <c r="O8" s="1492"/>
      <c r="P8" s="1492"/>
      <c r="Q8" s="1492"/>
      <c r="R8" s="1492"/>
      <c r="S8" s="1492"/>
      <c r="T8" s="1492"/>
      <c r="U8" s="1492"/>
      <c r="V8" s="1492"/>
      <c r="W8" s="1492"/>
      <c r="X8" s="1492"/>
      <c r="Y8" s="1492"/>
      <c r="Z8" s="1493"/>
      <c r="AA8" s="1497"/>
      <c r="AB8" s="1497"/>
      <c r="AC8" s="1497"/>
      <c r="AD8" s="1497"/>
      <c r="AE8" s="1497"/>
      <c r="AF8" s="1497"/>
      <c r="AG8" s="1498"/>
    </row>
    <row r="9" spans="1:33" s="65" customFormat="1" ht="36" customHeight="1">
      <c r="A9" s="1491" t="s">
        <v>1797</v>
      </c>
      <c r="B9" s="1492"/>
      <c r="C9" s="1492"/>
      <c r="D9" s="1492"/>
      <c r="E9" s="1492"/>
      <c r="F9" s="1492"/>
      <c r="G9" s="1492"/>
      <c r="H9" s="1492"/>
      <c r="I9" s="1492"/>
      <c r="J9" s="1492"/>
      <c r="K9" s="1492"/>
      <c r="L9" s="1492"/>
      <c r="M9" s="1493"/>
      <c r="N9" s="1491" t="s">
        <v>1788</v>
      </c>
      <c r="O9" s="1492"/>
      <c r="P9" s="1492"/>
      <c r="Q9" s="1492"/>
      <c r="R9" s="1492"/>
      <c r="S9" s="1492"/>
      <c r="T9" s="1492"/>
      <c r="U9" s="1492"/>
      <c r="V9" s="1492"/>
      <c r="W9" s="1492"/>
      <c r="X9" s="1492"/>
      <c r="Y9" s="1492"/>
      <c r="Z9" s="1493"/>
      <c r="AA9" s="1497"/>
      <c r="AB9" s="1497"/>
      <c r="AC9" s="1497"/>
      <c r="AD9" s="1497"/>
      <c r="AE9" s="1497"/>
      <c r="AF9" s="1497"/>
      <c r="AG9" s="1498"/>
    </row>
    <row r="10" spans="1:33" s="65" customFormat="1" ht="36" customHeight="1">
      <c r="A10" s="1491" t="s">
        <v>1798</v>
      </c>
      <c r="B10" s="1492"/>
      <c r="C10" s="1492"/>
      <c r="D10" s="1492"/>
      <c r="E10" s="1492"/>
      <c r="F10" s="1492"/>
      <c r="G10" s="1492"/>
      <c r="H10" s="1492"/>
      <c r="I10" s="1492"/>
      <c r="J10" s="1492"/>
      <c r="K10" s="1492"/>
      <c r="L10" s="1492"/>
      <c r="M10" s="1493"/>
      <c r="N10" s="1491" t="s">
        <v>1789</v>
      </c>
      <c r="O10" s="1492"/>
      <c r="P10" s="1492"/>
      <c r="Q10" s="1492"/>
      <c r="R10" s="1492"/>
      <c r="S10" s="1492"/>
      <c r="T10" s="1492"/>
      <c r="U10" s="1492"/>
      <c r="V10" s="1492"/>
      <c r="W10" s="1492"/>
      <c r="X10" s="1492"/>
      <c r="Y10" s="1492"/>
      <c r="Z10" s="1493"/>
      <c r="AA10" s="1497"/>
      <c r="AB10" s="1497"/>
      <c r="AC10" s="1497"/>
      <c r="AD10" s="1497"/>
      <c r="AE10" s="1497"/>
      <c r="AF10" s="1497"/>
      <c r="AG10" s="1498"/>
    </row>
    <row r="11" spans="1:33" s="65" customFormat="1" ht="36" customHeight="1">
      <c r="A11" s="1491" t="s">
        <v>1799</v>
      </c>
      <c r="B11" s="1492"/>
      <c r="C11" s="1492"/>
      <c r="D11" s="1492"/>
      <c r="E11" s="1492"/>
      <c r="F11" s="1492"/>
      <c r="G11" s="1492"/>
      <c r="H11" s="1492"/>
      <c r="I11" s="1492"/>
      <c r="J11" s="1492"/>
      <c r="K11" s="1492"/>
      <c r="L11" s="1492"/>
      <c r="M11" s="1493"/>
      <c r="N11" s="1491" t="s">
        <v>1790</v>
      </c>
      <c r="O11" s="1492"/>
      <c r="P11" s="1492"/>
      <c r="Q11" s="1492"/>
      <c r="R11" s="1492"/>
      <c r="S11" s="1492"/>
      <c r="T11" s="1492"/>
      <c r="U11" s="1492"/>
      <c r="V11" s="1492"/>
      <c r="W11" s="1492"/>
      <c r="X11" s="1492"/>
      <c r="Y11" s="1492"/>
      <c r="Z11" s="1493"/>
      <c r="AA11" s="1497"/>
      <c r="AB11" s="1497"/>
      <c r="AC11" s="1497"/>
      <c r="AD11" s="1497"/>
      <c r="AE11" s="1497"/>
      <c r="AF11" s="1497"/>
      <c r="AG11" s="1498"/>
    </row>
    <row r="12" spans="1:33" ht="36" customHeight="1">
      <c r="A12" s="1491" t="s">
        <v>1800</v>
      </c>
      <c r="B12" s="1492"/>
      <c r="C12" s="1492"/>
      <c r="D12" s="1492"/>
      <c r="E12" s="1492"/>
      <c r="F12" s="1492"/>
      <c r="G12" s="1492"/>
      <c r="H12" s="1492"/>
      <c r="I12" s="1492"/>
      <c r="J12" s="1492"/>
      <c r="K12" s="1492"/>
      <c r="L12" s="1492"/>
      <c r="M12" s="1493"/>
      <c r="N12" s="1494" t="s">
        <v>1791</v>
      </c>
      <c r="O12" s="1495"/>
      <c r="P12" s="1495"/>
      <c r="Q12" s="1495"/>
      <c r="R12" s="1495"/>
      <c r="S12" s="1495"/>
      <c r="T12" s="1495"/>
      <c r="U12" s="1495"/>
      <c r="V12" s="1495"/>
      <c r="W12" s="1495"/>
      <c r="X12" s="1495"/>
      <c r="Y12" s="1495"/>
      <c r="Z12" s="1496"/>
      <c r="AA12" s="1497"/>
      <c r="AB12" s="1497"/>
      <c r="AC12" s="1497"/>
      <c r="AD12" s="1497"/>
      <c r="AE12" s="1497"/>
      <c r="AF12" s="1497"/>
      <c r="AG12" s="1498"/>
    </row>
    <row r="13" spans="1:33" s="65" customFormat="1" ht="36" customHeight="1">
      <c r="A13" s="1491" t="s">
        <v>1801</v>
      </c>
      <c r="B13" s="1492"/>
      <c r="C13" s="1492"/>
      <c r="D13" s="1492"/>
      <c r="E13" s="1492"/>
      <c r="F13" s="1492"/>
      <c r="G13" s="1492"/>
      <c r="H13" s="1492"/>
      <c r="I13" s="1492"/>
      <c r="J13" s="1492"/>
      <c r="K13" s="1492"/>
      <c r="L13" s="1492"/>
      <c r="M13" s="1493"/>
      <c r="N13" s="1491" t="s">
        <v>1787</v>
      </c>
      <c r="O13" s="1492"/>
      <c r="P13" s="1492"/>
      <c r="Q13" s="1492"/>
      <c r="R13" s="1492"/>
      <c r="S13" s="1492"/>
      <c r="T13" s="1492"/>
      <c r="U13" s="1492"/>
      <c r="V13" s="1492"/>
      <c r="W13" s="1492"/>
      <c r="X13" s="1492"/>
      <c r="Y13" s="1492"/>
      <c r="Z13" s="1493"/>
      <c r="AA13" s="1497"/>
      <c r="AB13" s="1497"/>
      <c r="AC13" s="1497"/>
      <c r="AD13" s="1497"/>
      <c r="AE13" s="1497"/>
      <c r="AF13" s="1497"/>
      <c r="AG13" s="1498"/>
    </row>
    <row r="14" spans="1:33" s="65" customFormat="1" ht="36" customHeight="1">
      <c r="A14" s="1491" t="s">
        <v>1802</v>
      </c>
      <c r="B14" s="1492"/>
      <c r="C14" s="1492"/>
      <c r="D14" s="1492"/>
      <c r="E14" s="1492"/>
      <c r="F14" s="1492"/>
      <c r="G14" s="1492"/>
      <c r="H14" s="1492"/>
      <c r="I14" s="1492"/>
      <c r="J14" s="1492"/>
      <c r="K14" s="1492"/>
      <c r="L14" s="1492"/>
      <c r="M14" s="1493"/>
      <c r="N14" s="1494" t="s">
        <v>1792</v>
      </c>
      <c r="O14" s="1495"/>
      <c r="P14" s="1495"/>
      <c r="Q14" s="1495"/>
      <c r="R14" s="1495"/>
      <c r="S14" s="1495"/>
      <c r="T14" s="1495"/>
      <c r="U14" s="1495"/>
      <c r="V14" s="1495"/>
      <c r="W14" s="1495"/>
      <c r="X14" s="1495"/>
      <c r="Y14" s="1495"/>
      <c r="Z14" s="1496"/>
      <c r="AA14" s="1497"/>
      <c r="AB14" s="1497"/>
      <c r="AC14" s="1497"/>
      <c r="AD14" s="1497"/>
      <c r="AE14" s="1497"/>
      <c r="AF14" s="1497"/>
      <c r="AG14" s="1498"/>
    </row>
    <row r="15" spans="1:33" s="65" customFormat="1" ht="36" customHeight="1">
      <c r="A15" s="1491" t="s">
        <v>1803</v>
      </c>
      <c r="B15" s="1492"/>
      <c r="C15" s="1492"/>
      <c r="D15" s="1492"/>
      <c r="E15" s="1492"/>
      <c r="F15" s="1492"/>
      <c r="G15" s="1492"/>
      <c r="H15" s="1492"/>
      <c r="I15" s="1492"/>
      <c r="J15" s="1492"/>
      <c r="K15" s="1492"/>
      <c r="L15" s="1492"/>
      <c r="M15" s="1493"/>
      <c r="N15" s="1494" t="s">
        <v>1793</v>
      </c>
      <c r="O15" s="1495"/>
      <c r="P15" s="1495"/>
      <c r="Q15" s="1495"/>
      <c r="R15" s="1495"/>
      <c r="S15" s="1495"/>
      <c r="T15" s="1495"/>
      <c r="U15" s="1495"/>
      <c r="V15" s="1495"/>
      <c r="W15" s="1495"/>
      <c r="X15" s="1495"/>
      <c r="Y15" s="1495"/>
      <c r="Z15" s="1496"/>
      <c r="AA15" s="1497"/>
      <c r="AB15" s="1497"/>
      <c r="AC15" s="1497"/>
      <c r="AD15" s="1497"/>
      <c r="AE15" s="1497"/>
      <c r="AF15" s="1497"/>
      <c r="AG15" s="1498"/>
    </row>
    <row r="16" spans="1:33" s="65" customFormat="1" ht="36.75" customHeight="1">
      <c r="A16" s="1491" t="s">
        <v>1804</v>
      </c>
      <c r="B16" s="1492"/>
      <c r="C16" s="1492"/>
      <c r="D16" s="1492"/>
      <c r="E16" s="1492"/>
      <c r="F16" s="1492"/>
      <c r="G16" s="1492"/>
      <c r="H16" s="1492"/>
      <c r="I16" s="1492"/>
      <c r="J16" s="1492"/>
      <c r="K16" s="1492"/>
      <c r="L16" s="1492"/>
      <c r="M16" s="1493"/>
      <c r="N16" s="1491" t="s">
        <v>1787</v>
      </c>
      <c r="O16" s="1492"/>
      <c r="P16" s="1492"/>
      <c r="Q16" s="1492"/>
      <c r="R16" s="1492"/>
      <c r="S16" s="1492"/>
      <c r="T16" s="1492"/>
      <c r="U16" s="1492"/>
      <c r="V16" s="1492"/>
      <c r="W16" s="1492"/>
      <c r="X16" s="1492"/>
      <c r="Y16" s="1492"/>
      <c r="Z16" s="1493"/>
      <c r="AA16" s="1497"/>
      <c r="AB16" s="1497"/>
      <c r="AC16" s="1497"/>
      <c r="AD16" s="1497"/>
      <c r="AE16" s="1497"/>
      <c r="AF16" s="1497"/>
      <c r="AG16" s="1498"/>
    </row>
    <row r="17" spans="1:33" s="65" customFormat="1" ht="13.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row>
    <row r="18" spans="1:33" s="65" customFormat="1" ht="97.7" customHeight="1">
      <c r="A18" s="852" t="s">
        <v>633</v>
      </c>
      <c r="B18" s="852"/>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row>
    <row r="19" spans="1:33" s="65" customFormat="1" ht="36" customHeight="1">
      <c r="A19" s="852" t="s">
        <v>634</v>
      </c>
      <c r="B19" s="852"/>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row>
    <row r="20" spans="1:33" s="70" customFormat="1" ht="36" customHeight="1">
      <c r="A20" s="852" t="s">
        <v>635</v>
      </c>
      <c r="B20" s="852"/>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row>
    <row r="21" spans="1:33" ht="15.6"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row>
    <row r="22" spans="1:33" s="65" customFormat="1" ht="15.6"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row>
    <row r="23" spans="1:33" s="65" customFormat="1" ht="15.6"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row>
    <row r="24" spans="1:33" s="65" customFormat="1" ht="15.6"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row>
    <row r="25" spans="1:33" s="65"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s="65"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1:33" s="65" customFormat="1" ht="15.6" customHeight="1">
      <c r="A27" s="62"/>
      <c r="B27" s="62"/>
      <c r="C27" s="62"/>
      <c r="D27" s="62"/>
      <c r="E27" s="62"/>
      <c r="F27" s="62"/>
      <c r="G27" s="62"/>
      <c r="H27" s="62"/>
      <c r="I27" s="62"/>
      <c r="J27" s="62"/>
      <c r="K27" s="62"/>
      <c r="L27" s="62"/>
      <c r="M27" s="62"/>
      <c r="N27" s="62"/>
      <c r="O27" s="62"/>
      <c r="P27" s="70"/>
      <c r="Q27" s="62"/>
      <c r="R27" s="62"/>
      <c r="S27" s="62"/>
      <c r="T27" s="62"/>
      <c r="U27" s="62"/>
      <c r="V27" s="62"/>
      <c r="W27" s="62"/>
      <c r="X27" s="62"/>
      <c r="Y27" s="62"/>
      <c r="Z27" s="62"/>
      <c r="AA27" s="62"/>
      <c r="AB27" s="62"/>
      <c r="AC27" s="62"/>
      <c r="AD27" s="62"/>
      <c r="AE27" s="62"/>
      <c r="AF27" s="62"/>
      <c r="AG27" s="62"/>
    </row>
    <row r="28" spans="1:33" s="65" customFormat="1" ht="15.6"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row>
    <row r="29" spans="1:33" s="65" customFormat="1" ht="15.6"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1:33" s="65" customFormat="1" ht="27.2" customHeight="1"/>
    <row r="31" spans="1:33" s="65" customFormat="1" ht="13.5" customHeight="1"/>
    <row r="32" spans="1:33" s="65" customFormat="1" ht="13.5" customHeight="1"/>
    <row r="33" s="65" customFormat="1" ht="13.5" customHeight="1"/>
    <row r="34" s="65" customFormat="1" ht="13.5" customHeight="1"/>
    <row r="35" s="65" customFormat="1" ht="13.5" customHeight="1"/>
    <row r="36" s="65" customFormat="1"/>
    <row r="37" s="65" customFormat="1" ht="13.5" customHeight="1"/>
    <row r="38" s="65" customFormat="1" ht="13.5" customHeight="1"/>
    <row r="39" s="65" customFormat="1" ht="13.5" customHeight="1"/>
    <row r="40" s="65" customFormat="1" ht="13.5" customHeigh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27.2" customHeight="1"/>
    <row r="50" s="65" customFormat="1" ht="13.5" customHeight="1"/>
    <row r="51" s="65" customFormat="1" ht="27.2" customHeight="1"/>
    <row r="52" s="65" customFormat="1" ht="13.5" customHeight="1"/>
    <row r="53" s="65" customFormat="1" ht="13.5" customHeight="1"/>
    <row r="54" s="65" customFormat="1" ht="13.5" customHeight="1"/>
    <row r="55" s="65" customFormat="1" ht="13.5" customHeight="1"/>
    <row r="56" s="65" customFormat="1" ht="13.5" customHeight="1"/>
    <row r="57" s="65" customFormat="1" ht="13.5" customHeight="1"/>
    <row r="58" s="65" customFormat="1" ht="13.5" customHeight="1"/>
    <row r="59" s="65" customFormat="1" ht="13.5" customHeight="1"/>
    <row r="60" s="65" customFormat="1" ht="13.5" customHeight="1"/>
    <row r="61" s="65" customFormat="1" ht="27.2" customHeight="1"/>
    <row r="62" s="65" customFormat="1" ht="27.2" customHeight="1"/>
    <row r="65" s="65" customFormat="1"/>
    <row r="66" s="65" customFormat="1"/>
    <row r="83" s="65" customFormat="1" ht="40.5" customHeight="1"/>
    <row r="111" s="65" customFormat="1" ht="13.5" customHeight="1"/>
    <row r="126" s="65" customFormat="1" ht="13.5" customHeight="1"/>
    <row r="135" s="65" customFormat="1" ht="40.5" customHeight="1"/>
    <row r="136" s="65"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Normal="100" zoomScaleSheetLayoutView="100" workbookViewId="0"/>
  </sheetViews>
  <sheetFormatPr defaultColWidth="9" defaultRowHeight="13.5"/>
  <cols>
    <col min="1" max="52" width="2.625" style="65" customWidth="1"/>
  </cols>
  <sheetData>
    <row r="1" spans="1:38" s="65" customFormat="1" ht="15.6"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G1" s="356" t="s">
        <v>636</v>
      </c>
      <c r="AI1" s="635" t="s">
        <v>1805</v>
      </c>
      <c r="AJ1" s="635"/>
      <c r="AK1" s="635"/>
      <c r="AL1" s="635"/>
    </row>
    <row r="2" spans="1:38" s="65" customFormat="1" ht="18" customHeight="1">
      <c r="A2" s="1500" t="s">
        <v>637</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I2" s="635" t="s">
        <v>1806</v>
      </c>
      <c r="AJ2" s="635"/>
      <c r="AK2" s="635"/>
      <c r="AL2" s="635"/>
    </row>
    <row r="3" spans="1:38" s="65" customFormat="1" ht="18" customHeight="1">
      <c r="A3" s="1500" t="s">
        <v>638</v>
      </c>
      <c r="B3" s="1500"/>
      <c r="C3" s="1500"/>
      <c r="D3" s="1500"/>
      <c r="E3" s="1500"/>
      <c r="F3" s="1500"/>
      <c r="G3" s="1500"/>
      <c r="H3" s="1500"/>
      <c r="I3" s="1500"/>
      <c r="J3" s="1500"/>
      <c r="K3" s="1500"/>
      <c r="L3" s="1500"/>
      <c r="M3" s="1500"/>
      <c r="N3" s="1500"/>
      <c r="O3" s="1500"/>
      <c r="P3" s="1500"/>
      <c r="Q3" s="1500"/>
      <c r="R3" s="1500"/>
      <c r="S3" s="1500"/>
      <c r="T3" s="1500"/>
      <c r="U3" s="1500"/>
      <c r="V3" s="1500"/>
      <c r="W3" s="1500"/>
      <c r="X3" s="1500"/>
      <c r="Y3" s="1500"/>
      <c r="Z3" s="1500"/>
      <c r="AA3" s="1500"/>
      <c r="AB3" s="1500"/>
      <c r="AC3" s="1500"/>
      <c r="AD3" s="1500"/>
      <c r="AE3" s="1500"/>
      <c r="AF3" s="1500"/>
      <c r="AG3" s="1500"/>
      <c r="AI3" s="635"/>
      <c r="AJ3" s="635"/>
      <c r="AK3" s="635"/>
      <c r="AL3" s="635"/>
    </row>
    <row r="4" spans="1:38" s="65" customFormat="1" ht="18"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I4" s="635" t="s">
        <v>1807</v>
      </c>
      <c r="AJ4" s="635"/>
      <c r="AK4" s="635"/>
      <c r="AL4" s="635"/>
    </row>
    <row r="5" spans="1:38" s="65" customFormat="1" ht="15.6" customHeight="1">
      <c r="A5" s="354" t="s">
        <v>639</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I5" s="635" t="s">
        <v>1808</v>
      </c>
      <c r="AJ5" s="635"/>
      <c r="AK5" s="635"/>
      <c r="AL5" s="635"/>
    </row>
    <row r="6" spans="1:38" s="65" customFormat="1" ht="15.6" customHeight="1">
      <c r="A6" s="67"/>
      <c r="B6" s="62"/>
      <c r="C6" s="62"/>
      <c r="D6" s="62"/>
      <c r="E6" s="62"/>
      <c r="F6" s="62"/>
      <c r="G6" s="62"/>
      <c r="H6" s="62"/>
      <c r="I6" s="62"/>
      <c r="J6" s="62"/>
      <c r="K6" s="62"/>
      <c r="L6" s="62"/>
      <c r="M6" s="62"/>
      <c r="N6" s="62"/>
      <c r="O6" s="62"/>
      <c r="P6" s="62"/>
      <c r="Q6" s="62"/>
      <c r="R6" s="62"/>
      <c r="S6" s="62"/>
      <c r="T6" s="62"/>
      <c r="U6" s="62"/>
      <c r="V6" s="62"/>
      <c r="W6" s="62"/>
      <c r="Y6" s="65" t="s">
        <v>640</v>
      </c>
      <c r="AD6" s="62"/>
      <c r="AE6" s="62"/>
      <c r="AF6" s="62"/>
      <c r="AG6" s="62"/>
      <c r="AI6" s="635"/>
      <c r="AJ6" s="635"/>
      <c r="AK6" s="635"/>
      <c r="AL6" s="635"/>
    </row>
    <row r="7" spans="1:38" s="65" customFormat="1" ht="24" customHeight="1">
      <c r="A7" s="62"/>
      <c r="B7" s="1466" t="s">
        <v>641</v>
      </c>
      <c r="C7" s="1466"/>
      <c r="D7" s="1466"/>
      <c r="E7" s="1466"/>
      <c r="F7" s="1466" t="s">
        <v>642</v>
      </c>
      <c r="G7" s="1466"/>
      <c r="H7" s="1466"/>
      <c r="I7" s="1466"/>
      <c r="J7" s="1466"/>
      <c r="K7" s="1466"/>
      <c r="L7" s="1466"/>
      <c r="M7" s="1466"/>
      <c r="N7" s="1466" t="s">
        <v>643</v>
      </c>
      <c r="O7" s="1466"/>
      <c r="P7" s="1466"/>
      <c r="Q7" s="1466"/>
      <c r="R7" s="1466"/>
      <c r="S7" s="1466"/>
      <c r="T7" s="1466"/>
      <c r="U7" s="1466"/>
      <c r="V7" s="1466" t="s">
        <v>644</v>
      </c>
      <c r="W7" s="1466"/>
      <c r="X7" s="1466"/>
      <c r="Y7" s="1466"/>
      <c r="Z7" s="1466"/>
      <c r="AA7" s="1466"/>
      <c r="AB7" s="1466"/>
      <c r="AC7" s="1466"/>
      <c r="AD7" s="62"/>
      <c r="AE7" s="62"/>
      <c r="AF7" s="62"/>
      <c r="AG7" s="62"/>
      <c r="AI7" s="635" t="s">
        <v>1809</v>
      </c>
      <c r="AJ7" s="635"/>
      <c r="AK7" s="635"/>
      <c r="AL7" s="635"/>
    </row>
    <row r="8" spans="1:38" s="65" customFormat="1" ht="24" customHeight="1">
      <c r="A8" s="62"/>
      <c r="B8" s="1466" t="s">
        <v>385</v>
      </c>
      <c r="C8" s="1466"/>
      <c r="D8" s="1466"/>
      <c r="E8" s="1466"/>
      <c r="F8" s="1427">
        <v>1000</v>
      </c>
      <c r="G8" s="1427"/>
      <c r="H8" s="1427"/>
      <c r="I8" s="1427"/>
      <c r="J8" s="1427"/>
      <c r="K8" s="1427"/>
      <c r="L8" s="1427"/>
      <c r="M8" s="1427"/>
      <c r="N8" s="1427">
        <v>512</v>
      </c>
      <c r="O8" s="1427"/>
      <c r="P8" s="1427"/>
      <c r="Q8" s="1427"/>
      <c r="R8" s="1427"/>
      <c r="S8" s="1427"/>
      <c r="T8" s="1427"/>
      <c r="U8" s="1427"/>
      <c r="V8" s="1427">
        <v>1512</v>
      </c>
      <c r="W8" s="1427"/>
      <c r="X8" s="1427"/>
      <c r="Y8" s="1427"/>
      <c r="Z8" s="1427"/>
      <c r="AA8" s="1427"/>
      <c r="AB8" s="1427"/>
      <c r="AC8" s="1427"/>
      <c r="AD8" s="62"/>
      <c r="AE8" s="62"/>
      <c r="AF8" s="62"/>
      <c r="AG8" s="62"/>
      <c r="AI8" s="635" t="s">
        <v>1810</v>
      </c>
      <c r="AJ8" s="635"/>
      <c r="AK8" s="635"/>
      <c r="AL8" s="635"/>
    </row>
    <row r="9" spans="1:38" s="65" customFormat="1" ht="24" customHeight="1">
      <c r="A9" s="62"/>
      <c r="B9" s="1466" t="s">
        <v>413</v>
      </c>
      <c r="C9" s="1466"/>
      <c r="D9" s="1466"/>
      <c r="E9" s="1466"/>
      <c r="F9" s="1499"/>
      <c r="G9" s="1499"/>
      <c r="H9" s="1499"/>
      <c r="I9" s="1499"/>
      <c r="J9" s="1499"/>
      <c r="K9" s="1499"/>
      <c r="L9" s="1499"/>
      <c r="M9" s="1499"/>
      <c r="N9" s="1499"/>
      <c r="O9" s="1499"/>
      <c r="P9" s="1499"/>
      <c r="Q9" s="1499"/>
      <c r="R9" s="1499"/>
      <c r="S9" s="1499"/>
      <c r="T9" s="1499"/>
      <c r="U9" s="1499"/>
      <c r="V9" s="1499"/>
      <c r="W9" s="1499"/>
      <c r="X9" s="1499"/>
      <c r="Y9" s="1499"/>
      <c r="Z9" s="1499"/>
      <c r="AA9" s="1499"/>
      <c r="AB9" s="1499"/>
      <c r="AC9" s="1499"/>
      <c r="AD9" s="62"/>
      <c r="AE9" s="62"/>
      <c r="AF9" s="62"/>
      <c r="AG9" s="62"/>
    </row>
    <row r="10" spans="1:38" s="65" customFormat="1" ht="24" customHeight="1" thickBot="1">
      <c r="A10" s="62"/>
      <c r="B10" s="1466" t="s">
        <v>645</v>
      </c>
      <c r="C10" s="1466"/>
      <c r="D10" s="1466"/>
      <c r="E10" s="1466"/>
      <c r="F10" s="1499"/>
      <c r="G10" s="1499"/>
      <c r="H10" s="1499"/>
      <c r="I10" s="1499"/>
      <c r="J10" s="1499"/>
      <c r="K10" s="1499"/>
      <c r="L10" s="1499"/>
      <c r="M10" s="1499"/>
      <c r="N10" s="1499"/>
      <c r="O10" s="1499"/>
      <c r="P10" s="1499"/>
      <c r="Q10" s="1499"/>
      <c r="R10" s="1499"/>
      <c r="S10" s="1499"/>
      <c r="T10" s="1499"/>
      <c r="U10" s="1499"/>
      <c r="V10" s="1503"/>
      <c r="W10" s="1503"/>
      <c r="X10" s="1503"/>
      <c r="Y10" s="1503"/>
      <c r="Z10" s="1503"/>
      <c r="AA10" s="1503"/>
      <c r="AB10" s="1503"/>
      <c r="AC10" s="1503"/>
      <c r="AD10" s="62"/>
      <c r="AE10" s="62"/>
      <c r="AF10" s="62"/>
      <c r="AG10" s="62"/>
    </row>
    <row r="11" spans="1:38" s="65" customFormat="1" ht="24" customHeight="1" thickBot="1">
      <c r="A11" s="62"/>
      <c r="B11" s="1466" t="s">
        <v>395</v>
      </c>
      <c r="C11" s="1466"/>
      <c r="D11" s="1466"/>
      <c r="E11" s="1466"/>
      <c r="F11" s="1427">
        <v>1000</v>
      </c>
      <c r="G11" s="1427"/>
      <c r="H11" s="1427"/>
      <c r="I11" s="1427"/>
      <c r="J11" s="1427"/>
      <c r="K11" s="1427"/>
      <c r="L11" s="1427"/>
      <c r="M11" s="1427"/>
      <c r="N11" s="1427">
        <v>512</v>
      </c>
      <c r="O11" s="1427"/>
      <c r="P11" s="1427"/>
      <c r="Q11" s="1427"/>
      <c r="R11" s="1427"/>
      <c r="S11" s="1427"/>
      <c r="T11" s="1427"/>
      <c r="U11" s="1504"/>
      <c r="V11" s="1505">
        <v>1512</v>
      </c>
      <c r="W11" s="1506"/>
      <c r="X11" s="1506"/>
      <c r="Y11" s="1506"/>
      <c r="Z11" s="1506"/>
      <c r="AA11" s="1506"/>
      <c r="AB11" s="1506"/>
      <c r="AC11" s="1507"/>
      <c r="AD11" s="62"/>
      <c r="AE11" s="62"/>
      <c r="AF11" s="62"/>
      <c r="AG11" s="62"/>
    </row>
    <row r="12" spans="1:38" s="65" customFormat="1" ht="24" customHeight="1">
      <c r="A12" s="62"/>
      <c r="B12" s="1466" t="s">
        <v>387</v>
      </c>
      <c r="C12" s="1466"/>
      <c r="D12" s="1466"/>
      <c r="E12" s="1466"/>
      <c r="F12" s="1499"/>
      <c r="G12" s="1499"/>
      <c r="H12" s="1499"/>
      <c r="I12" s="1499"/>
      <c r="J12" s="1499"/>
      <c r="K12" s="1499"/>
      <c r="L12" s="1499"/>
      <c r="M12" s="1499"/>
      <c r="N12" s="1499"/>
      <c r="O12" s="1499"/>
      <c r="P12" s="1499"/>
      <c r="Q12" s="1499"/>
      <c r="R12" s="1499"/>
      <c r="S12" s="1499"/>
      <c r="T12" s="1499"/>
      <c r="U12" s="1499"/>
      <c r="V12" s="1501"/>
      <c r="W12" s="1501"/>
      <c r="X12" s="1501"/>
      <c r="Y12" s="1501"/>
      <c r="Z12" s="1501"/>
      <c r="AA12" s="1501"/>
      <c r="AB12" s="1501"/>
      <c r="AC12" s="1501"/>
      <c r="AD12" s="62"/>
      <c r="AE12" s="62"/>
      <c r="AF12" s="62"/>
      <c r="AG12" s="62"/>
    </row>
    <row r="13" spans="1:38" s="65" customFormat="1" ht="15.6" customHeight="1">
      <c r="A13" s="62"/>
      <c r="B13" s="213" t="s">
        <v>646</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row>
    <row r="14" spans="1:38" s="65" customFormat="1" ht="15.6"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row>
    <row r="15" spans="1:38" s="65" customFormat="1" ht="15.6" customHeight="1">
      <c r="A15" s="354" t="s">
        <v>647</v>
      </c>
      <c r="U15" s="62"/>
      <c r="V15" s="62"/>
      <c r="W15" s="62"/>
      <c r="X15" s="62"/>
      <c r="Y15" s="62"/>
      <c r="Z15" s="62"/>
      <c r="AA15" s="62"/>
      <c r="AB15" s="62"/>
      <c r="AC15" s="62"/>
      <c r="AD15" s="62"/>
      <c r="AE15" s="62"/>
      <c r="AF15" s="62"/>
      <c r="AG15" s="62"/>
    </row>
    <row r="16" spans="1:38" s="65" customFormat="1" ht="15.6" customHeight="1">
      <c r="N16" s="1502" t="s">
        <v>648</v>
      </c>
      <c r="O16" s="1502"/>
      <c r="P16" s="1502"/>
      <c r="Q16" s="1502"/>
      <c r="R16" s="1502"/>
      <c r="S16" s="1502"/>
      <c r="U16" s="62"/>
      <c r="V16" s="62"/>
      <c r="W16" s="62"/>
      <c r="X16" s="62"/>
      <c r="Y16" s="62"/>
      <c r="Z16" s="62"/>
      <c r="AA16" s="62"/>
      <c r="AB16" s="62"/>
      <c r="AC16" s="62"/>
      <c r="AD16" s="62"/>
      <c r="AE16" s="62"/>
      <c r="AF16" s="62"/>
      <c r="AG16" s="62"/>
    </row>
    <row r="17" spans="1:33" s="65" customFormat="1" ht="24" customHeight="1">
      <c r="B17" s="1466" t="s">
        <v>649</v>
      </c>
      <c r="C17" s="1466"/>
      <c r="D17" s="1466"/>
      <c r="E17" s="1466"/>
      <c r="F17" s="1466"/>
      <c r="G17" s="1466"/>
      <c r="H17" s="1466" t="s">
        <v>650</v>
      </c>
      <c r="I17" s="1466"/>
      <c r="J17" s="1466"/>
      <c r="K17" s="1466"/>
      <c r="L17" s="1466"/>
      <c r="M17" s="1466"/>
      <c r="N17" s="1466" t="s">
        <v>651</v>
      </c>
      <c r="O17" s="1466"/>
      <c r="P17" s="1466"/>
      <c r="Q17" s="1466"/>
      <c r="R17" s="1466"/>
      <c r="S17" s="1466"/>
      <c r="U17" s="62"/>
      <c r="V17" s="62"/>
      <c r="W17" s="62"/>
      <c r="X17" s="62"/>
      <c r="Y17" s="62"/>
      <c r="Z17" s="62"/>
      <c r="AA17" s="62"/>
      <c r="AB17" s="62"/>
      <c r="AC17" s="62"/>
      <c r="AD17" s="62"/>
      <c r="AE17" s="62"/>
      <c r="AF17" s="62"/>
      <c r="AG17" s="62"/>
    </row>
    <row r="18" spans="1:33" s="65" customFormat="1" ht="24" customHeight="1">
      <c r="B18" s="1427">
        <v>21358942</v>
      </c>
      <c r="C18" s="1427"/>
      <c r="D18" s="1427"/>
      <c r="E18" s="1427"/>
      <c r="F18" s="1427"/>
      <c r="G18" s="1427"/>
      <c r="H18" s="1427">
        <v>8</v>
      </c>
      <c r="I18" s="1427"/>
      <c r="J18" s="1427"/>
      <c r="K18" s="1427"/>
      <c r="L18" s="1427"/>
      <c r="M18" s="1427"/>
      <c r="N18" s="1427">
        <v>2669867</v>
      </c>
      <c r="O18" s="1427"/>
      <c r="P18" s="1427"/>
      <c r="Q18" s="1427"/>
      <c r="R18" s="1427"/>
      <c r="S18" s="1427"/>
      <c r="U18" s="62"/>
      <c r="V18" s="62"/>
      <c r="W18" s="62"/>
      <c r="X18" s="62"/>
      <c r="Y18" s="62"/>
      <c r="Z18" s="62"/>
      <c r="AA18" s="62"/>
      <c r="AB18" s="62"/>
      <c r="AC18" s="62"/>
      <c r="AD18" s="62"/>
      <c r="AE18" s="62"/>
      <c r="AF18" s="62"/>
      <c r="AG18" s="62"/>
    </row>
    <row r="19" spans="1:33" s="65" customFormat="1" ht="15.6" customHeight="1">
      <c r="A19" s="213"/>
      <c r="B19" s="213" t="s">
        <v>652</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row>
    <row r="20" spans="1:33" s="65" customFormat="1" ht="15.6" customHeight="1">
      <c r="A20" s="213"/>
      <c r="B20" s="213"/>
      <c r="C20" s="213" t="s">
        <v>653</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row>
    <row r="21" spans="1:33" s="65" customFormat="1" ht="46.5" customHeight="1">
      <c r="A21" s="213"/>
      <c r="B21" s="213"/>
      <c r="C21" s="1512" t="s">
        <v>654</v>
      </c>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row>
    <row r="22" spans="1:33" s="65" customFormat="1" ht="15.6" customHeight="1">
      <c r="A22" s="213"/>
      <c r="B22" s="213"/>
      <c r="C22" s="213" t="s">
        <v>655</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65" customFormat="1" ht="15.6" customHeight="1">
      <c r="A23" s="213"/>
      <c r="B23" s="213"/>
      <c r="C23" s="213" t="s">
        <v>656</v>
      </c>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row>
    <row r="24" spans="1:33" s="65" customFormat="1" ht="15.6" customHeight="1">
      <c r="A24" s="213"/>
      <c r="B24" s="213" t="s">
        <v>657</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65" customFormat="1" ht="15.6"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row>
    <row r="26" spans="1:33" s="65"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1:33" s="65" customFormat="1" ht="15.6" customHeight="1">
      <c r="A27" s="65" t="s">
        <v>658</v>
      </c>
    </row>
    <row r="28" spans="1:33" s="65" customFormat="1" ht="15.6" customHeight="1">
      <c r="A28" s="354" t="s">
        <v>659</v>
      </c>
    </row>
    <row r="29" spans="1:33" s="65" customFormat="1" ht="15.6" customHeight="1"/>
    <row r="30" spans="1:33" s="65" customFormat="1" ht="15.6" customHeight="1">
      <c r="B30" s="65" t="s">
        <v>660</v>
      </c>
    </row>
    <row r="31" spans="1:33" s="65" customFormat="1" ht="45.75" customHeight="1" thickBot="1">
      <c r="C31" s="1513" t="s">
        <v>456</v>
      </c>
      <c r="D31" s="1513"/>
      <c r="E31" s="1513"/>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row>
    <row r="32" spans="1:33" s="536" customFormat="1" ht="36" customHeight="1" thickBot="1">
      <c r="A32" s="1514" t="s">
        <v>2110</v>
      </c>
      <c r="B32" s="1515"/>
      <c r="C32" s="1516" t="s">
        <v>457</v>
      </c>
      <c r="D32" s="1517"/>
      <c r="E32" s="1517"/>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row>
    <row r="33" spans="1:29" s="359" customFormat="1" ht="18" customHeight="1">
      <c r="A33" s="1239" t="s">
        <v>369</v>
      </c>
      <c r="B33" s="1239"/>
      <c r="C33" s="1232" t="s">
        <v>458</v>
      </c>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4"/>
    </row>
    <row r="34" spans="1:29" s="359" customFormat="1" ht="36" customHeight="1">
      <c r="A34" s="1508" t="s">
        <v>139</v>
      </c>
      <c r="B34" s="1508"/>
      <c r="C34" s="1226" t="s">
        <v>459</v>
      </c>
      <c r="D34" s="1509"/>
      <c r="E34" s="1509"/>
      <c r="F34" s="1509"/>
      <c r="G34" s="1509"/>
      <c r="H34" s="1509"/>
      <c r="I34" s="1509"/>
      <c r="J34" s="1509"/>
      <c r="K34" s="1509"/>
      <c r="L34" s="1509"/>
      <c r="M34" s="1509"/>
      <c r="N34" s="1509"/>
      <c r="O34" s="1509"/>
      <c r="P34" s="1509"/>
      <c r="Q34" s="1509"/>
      <c r="R34" s="1509"/>
      <c r="S34" s="1509"/>
      <c r="T34" s="1509"/>
      <c r="U34" s="1509"/>
      <c r="V34" s="1509"/>
      <c r="W34" s="1509"/>
      <c r="X34" s="1509"/>
      <c r="Y34" s="1509"/>
      <c r="Z34" s="1509"/>
      <c r="AA34" s="1509"/>
      <c r="AB34" s="1509"/>
      <c r="AC34" s="1118"/>
    </row>
    <row r="35" spans="1:29" s="359" customFormat="1" ht="36" customHeight="1">
      <c r="A35" s="1508"/>
      <c r="B35" s="1508"/>
      <c r="C35" s="1510" t="s">
        <v>460</v>
      </c>
      <c r="D35" s="1511"/>
      <c r="E35" s="1511"/>
      <c r="F35" s="1511"/>
      <c r="G35" s="1511"/>
      <c r="H35" s="1511"/>
      <c r="I35" s="1511"/>
      <c r="J35" s="1511"/>
      <c r="K35" s="1511"/>
      <c r="L35" s="1511"/>
      <c r="M35" s="1511"/>
      <c r="N35" s="1511"/>
      <c r="O35" s="1511"/>
      <c r="P35" s="1511"/>
      <c r="Q35" s="1511"/>
      <c r="R35" s="1511"/>
      <c r="S35" s="1511"/>
      <c r="T35" s="1511"/>
      <c r="U35" s="1511"/>
      <c r="V35" s="1511"/>
      <c r="W35" s="1511"/>
      <c r="X35" s="1511"/>
      <c r="Y35" s="1511"/>
      <c r="Z35" s="1511"/>
      <c r="AA35" s="1511"/>
      <c r="AB35" s="1511"/>
      <c r="AC35" s="1132"/>
    </row>
    <row r="36" spans="1:29" s="359" customFormat="1" ht="36" customHeight="1">
      <c r="A36" s="1508"/>
      <c r="B36" s="1508"/>
      <c r="C36" s="1226" t="s">
        <v>461</v>
      </c>
      <c r="D36" s="1509"/>
      <c r="E36" s="1509"/>
      <c r="F36" s="1509"/>
      <c r="G36" s="1509"/>
      <c r="H36" s="1509"/>
      <c r="I36" s="1509"/>
      <c r="J36" s="1509"/>
      <c r="K36" s="1509"/>
      <c r="L36" s="1509"/>
      <c r="M36" s="1509"/>
      <c r="N36" s="1509"/>
      <c r="O36" s="1509"/>
      <c r="P36" s="1509"/>
      <c r="Q36" s="1509"/>
      <c r="R36" s="1509"/>
      <c r="S36" s="1509"/>
      <c r="T36" s="1509"/>
      <c r="U36" s="1509"/>
      <c r="V36" s="1509"/>
      <c r="W36" s="1509"/>
      <c r="X36" s="1509"/>
      <c r="Y36" s="1509"/>
      <c r="Z36" s="1509"/>
      <c r="AA36" s="1509"/>
      <c r="AB36" s="1509"/>
      <c r="AC36" s="1118"/>
    </row>
    <row r="37" spans="1:29" s="359" customFormat="1" ht="36" customHeight="1">
      <c r="A37" s="1508"/>
      <c r="B37" s="1508"/>
      <c r="C37" s="1226" t="s">
        <v>661</v>
      </c>
      <c r="D37" s="1509"/>
      <c r="E37" s="1509"/>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C37" s="1118"/>
    </row>
    <row r="38" spans="1:29" s="359" customFormat="1" ht="36" customHeight="1">
      <c r="A38" s="1508"/>
      <c r="B38" s="1508"/>
      <c r="C38" s="1226" t="s">
        <v>463</v>
      </c>
      <c r="D38" s="1509"/>
      <c r="E38" s="1509"/>
      <c r="F38" s="1509"/>
      <c r="G38" s="1509"/>
      <c r="H38" s="1509"/>
      <c r="I38" s="1509"/>
      <c r="J38" s="1509"/>
      <c r="K38" s="1509"/>
      <c r="L38" s="1509"/>
      <c r="M38" s="1509"/>
      <c r="N38" s="1509"/>
      <c r="O38" s="1509"/>
      <c r="P38" s="1509"/>
      <c r="Q38" s="1509"/>
      <c r="R38" s="1509"/>
      <c r="S38" s="1509"/>
      <c r="T38" s="1509"/>
      <c r="U38" s="1509"/>
      <c r="V38" s="1509"/>
      <c r="W38" s="1509"/>
      <c r="X38" s="1509"/>
      <c r="Y38" s="1509"/>
      <c r="Z38" s="1509"/>
      <c r="AA38" s="1509"/>
      <c r="AB38" s="1509"/>
      <c r="AC38" s="1118"/>
    </row>
    <row r="39" spans="1:29" s="359" customFormat="1" ht="36" customHeight="1">
      <c r="A39" s="1508"/>
      <c r="B39" s="1508"/>
      <c r="C39" s="1226" t="s">
        <v>464</v>
      </c>
      <c r="D39" s="1509"/>
      <c r="E39" s="1509"/>
      <c r="F39" s="1509"/>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118"/>
    </row>
    <row r="40" spans="1:29" s="359" customFormat="1" ht="42.75" customHeight="1">
      <c r="A40" s="1508"/>
      <c r="B40" s="1508"/>
      <c r="C40" s="1226" t="s">
        <v>465</v>
      </c>
      <c r="D40" s="1509"/>
      <c r="E40" s="1509"/>
      <c r="F40" s="1509"/>
      <c r="G40" s="1509"/>
      <c r="H40" s="1509"/>
      <c r="I40" s="1509"/>
      <c r="J40" s="1509"/>
      <c r="K40" s="1509"/>
      <c r="L40" s="1509"/>
      <c r="M40" s="1509"/>
      <c r="N40" s="1509"/>
      <c r="O40" s="1509"/>
      <c r="P40" s="1509"/>
      <c r="Q40" s="1509"/>
      <c r="R40" s="1509"/>
      <c r="S40" s="1509"/>
      <c r="T40" s="1509"/>
      <c r="U40" s="1509"/>
      <c r="V40" s="1509"/>
      <c r="W40" s="1509"/>
      <c r="X40" s="1509"/>
      <c r="Y40" s="1509"/>
      <c r="Z40" s="1509"/>
      <c r="AA40" s="1509"/>
      <c r="AB40" s="1509"/>
      <c r="AC40" s="1118"/>
    </row>
    <row r="41" spans="1:29" s="359" customFormat="1" ht="36" customHeight="1">
      <c r="A41" s="1508"/>
      <c r="B41" s="1508"/>
      <c r="C41" s="1226" t="s">
        <v>466</v>
      </c>
      <c r="D41" s="1509"/>
      <c r="E41" s="1509"/>
      <c r="F41" s="1509"/>
      <c r="G41" s="1509"/>
      <c r="H41" s="1509"/>
      <c r="I41" s="1509"/>
      <c r="J41" s="1509"/>
      <c r="K41" s="1509"/>
      <c r="L41" s="1509"/>
      <c r="M41" s="1509"/>
      <c r="N41" s="1509"/>
      <c r="O41" s="1509"/>
      <c r="P41" s="1509"/>
      <c r="Q41" s="1509"/>
      <c r="R41" s="1509"/>
      <c r="S41" s="1509"/>
      <c r="T41" s="1509"/>
      <c r="U41" s="1509"/>
      <c r="V41" s="1509"/>
      <c r="W41" s="1509"/>
      <c r="X41" s="1509"/>
      <c r="Y41" s="1509"/>
      <c r="Z41" s="1509"/>
      <c r="AA41" s="1509"/>
      <c r="AB41" s="1509"/>
      <c r="AC41" s="1118"/>
    </row>
    <row r="42" spans="1:29" s="359" customFormat="1" ht="36" customHeight="1">
      <c r="A42" s="1508"/>
      <c r="B42" s="1508"/>
      <c r="C42" s="1518" t="s">
        <v>467</v>
      </c>
      <c r="D42" s="1519"/>
      <c r="E42" s="1519"/>
      <c r="F42" s="1519"/>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20"/>
    </row>
    <row r="43" spans="1:29" s="65" customFormat="1" ht="15.6" customHeight="1">
      <c r="A43" s="354"/>
    </row>
    <row r="44" spans="1:29" s="65" customFormat="1" ht="15.6" customHeight="1">
      <c r="A44" s="354"/>
      <c r="B44" s="65" t="s">
        <v>662</v>
      </c>
    </row>
    <row r="45" spans="1:29" s="65" customFormat="1" ht="15.6" customHeight="1">
      <c r="A45" s="1191" t="s">
        <v>458</v>
      </c>
      <c r="B45" s="1191"/>
      <c r="C45" s="1191"/>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row>
    <row r="46" spans="1:29" s="65" customFormat="1" ht="15.6" customHeight="1">
      <c r="A46" s="1425" t="s">
        <v>469</v>
      </c>
      <c r="B46" s="1425"/>
      <c r="C46" s="1425"/>
      <c r="D46" s="1425"/>
      <c r="E46" s="1425"/>
      <c r="F46" s="1521" t="s">
        <v>470</v>
      </c>
      <c r="G46" s="1521"/>
      <c r="H46" s="1521"/>
      <c r="I46" s="1521"/>
      <c r="J46" s="1522"/>
      <c r="K46" s="1523" t="s">
        <v>139</v>
      </c>
      <c r="L46" s="1508"/>
      <c r="M46" s="1524" t="s">
        <v>471</v>
      </c>
      <c r="N46" s="1524"/>
      <c r="O46" s="1524"/>
      <c r="P46" s="1524"/>
      <c r="Q46" s="1386"/>
      <c r="R46" s="1523" t="s">
        <v>139</v>
      </c>
      <c r="S46" s="1508"/>
      <c r="T46" s="1524" t="s">
        <v>472</v>
      </c>
      <c r="U46" s="1525"/>
      <c r="V46" s="1526"/>
      <c r="W46" s="1527"/>
      <c r="X46" s="1528"/>
      <c r="Y46" s="1528"/>
      <c r="Z46" s="1528"/>
      <c r="AA46" s="1528"/>
      <c r="AB46" s="1529"/>
      <c r="AC46" s="537" t="s">
        <v>473</v>
      </c>
    </row>
    <row r="47" spans="1:29" s="65" customFormat="1" ht="15.6" customHeight="1">
      <c r="A47" s="1425" t="s">
        <v>474</v>
      </c>
      <c r="B47" s="1425"/>
      <c r="C47" s="1425"/>
      <c r="D47" s="1425"/>
      <c r="E47" s="1425"/>
      <c r="F47" s="1521" t="s">
        <v>475</v>
      </c>
      <c r="G47" s="1521"/>
      <c r="H47" s="1521"/>
      <c r="I47" s="1521"/>
      <c r="J47" s="1522"/>
      <c r="K47" s="1523" t="s">
        <v>139</v>
      </c>
      <c r="L47" s="1508"/>
      <c r="M47" s="1524" t="s">
        <v>471</v>
      </c>
      <c r="N47" s="1524"/>
      <c r="O47" s="1524"/>
      <c r="P47" s="1524"/>
      <c r="Q47" s="1386"/>
      <c r="R47" s="1523" t="s">
        <v>139</v>
      </c>
      <c r="S47" s="1508"/>
      <c r="T47" s="1524" t="s">
        <v>472</v>
      </c>
      <c r="U47" s="1525"/>
      <c r="V47" s="1526"/>
      <c r="W47" s="1527"/>
      <c r="X47" s="1528"/>
      <c r="Y47" s="1528"/>
      <c r="Z47" s="1528"/>
      <c r="AA47" s="1528"/>
      <c r="AB47" s="1529"/>
      <c r="AC47" s="537" t="s">
        <v>473</v>
      </c>
    </row>
    <row r="48" spans="1:29" s="65" customFormat="1" ht="15.6" customHeight="1">
      <c r="A48" s="1425" t="s">
        <v>476</v>
      </c>
      <c r="B48" s="1425"/>
      <c r="C48" s="1425"/>
      <c r="D48" s="1425"/>
      <c r="E48" s="1425"/>
      <c r="F48" s="1253" t="s">
        <v>477</v>
      </c>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row>
    <row r="49" spans="1:33" s="65" customFormat="1" ht="15.6" customHeight="1">
      <c r="A49" s="354"/>
    </row>
    <row r="50" spans="1:33" s="65" customFormat="1" ht="15.6" customHeight="1">
      <c r="A50" s="354"/>
      <c r="B50" s="65" t="s">
        <v>663</v>
      </c>
    </row>
    <row r="51" spans="1:33" s="65" customFormat="1" ht="15.6" customHeight="1">
      <c r="A51" s="354"/>
      <c r="C51" s="65" t="s">
        <v>479</v>
      </c>
    </row>
    <row r="52" spans="1:33" s="65" customFormat="1" ht="15.6" customHeight="1">
      <c r="A52" s="1191" t="s">
        <v>369</v>
      </c>
      <c r="B52" s="1191"/>
      <c r="C52" s="1232" t="s">
        <v>458</v>
      </c>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4"/>
    </row>
    <row r="53" spans="1:33" s="65" customFormat="1" ht="30.75" customHeight="1">
      <c r="A53" s="1508" t="s">
        <v>139</v>
      </c>
      <c r="B53" s="1508"/>
      <c r="C53" s="1226" t="s">
        <v>480</v>
      </c>
      <c r="D53" s="1509"/>
      <c r="E53" s="1509"/>
      <c r="F53" s="1509"/>
      <c r="G53" s="1509"/>
      <c r="H53" s="1509"/>
      <c r="I53" s="1509"/>
      <c r="J53" s="1509"/>
      <c r="K53" s="1509"/>
      <c r="L53" s="1509"/>
      <c r="M53" s="1509"/>
      <c r="N53" s="1509"/>
      <c r="O53" s="1509"/>
      <c r="P53" s="1509"/>
      <c r="Q53" s="1509"/>
      <c r="R53" s="1509"/>
      <c r="S53" s="1509"/>
      <c r="T53" s="1509"/>
      <c r="U53" s="1509"/>
      <c r="V53" s="1509"/>
      <c r="W53" s="1509"/>
      <c r="X53" s="1509"/>
      <c r="Y53" s="1509"/>
      <c r="Z53" s="1509"/>
      <c r="AA53" s="1509"/>
      <c r="AB53" s="1509"/>
      <c r="AC53" s="1118"/>
    </row>
    <row r="54" spans="1:33" s="65" customFormat="1" ht="30.75" customHeight="1">
      <c r="A54" s="1508"/>
      <c r="B54" s="1508"/>
      <c r="C54" s="1510" t="s">
        <v>481</v>
      </c>
      <c r="D54" s="1511"/>
      <c r="E54" s="1511"/>
      <c r="F54" s="1511"/>
      <c r="G54" s="1511"/>
      <c r="H54" s="1511"/>
      <c r="I54" s="1511"/>
      <c r="J54" s="1511"/>
      <c r="K54" s="1511"/>
      <c r="L54" s="1511"/>
      <c r="M54" s="1511"/>
      <c r="N54" s="1511"/>
      <c r="O54" s="1511"/>
      <c r="P54" s="1511"/>
      <c r="Q54" s="1511"/>
      <c r="R54" s="1511"/>
      <c r="S54" s="1511"/>
      <c r="T54" s="1511"/>
      <c r="U54" s="1511"/>
      <c r="V54" s="1511"/>
      <c r="W54" s="1511"/>
      <c r="X54" s="1511"/>
      <c r="Y54" s="1511"/>
      <c r="Z54" s="1511"/>
      <c r="AA54" s="1511"/>
      <c r="AB54" s="1511"/>
      <c r="AC54" s="1132"/>
    </row>
    <row r="55" spans="1:33" s="65" customFormat="1" ht="30.75" customHeight="1">
      <c r="A55" s="1508"/>
      <c r="B55" s="1508"/>
      <c r="C55" s="1226" t="s">
        <v>482</v>
      </c>
      <c r="D55" s="1509"/>
      <c r="E55" s="1509"/>
      <c r="F55" s="1509"/>
      <c r="G55" s="1509"/>
      <c r="H55" s="1509"/>
      <c r="I55" s="1509"/>
      <c r="J55" s="1509"/>
      <c r="K55" s="1509"/>
      <c r="L55" s="1509"/>
      <c r="M55" s="1509"/>
      <c r="N55" s="1509"/>
      <c r="O55" s="1509"/>
      <c r="P55" s="1509"/>
      <c r="Q55" s="1509"/>
      <c r="R55" s="1509"/>
      <c r="S55" s="1509"/>
      <c r="T55" s="1509"/>
      <c r="U55" s="1509"/>
      <c r="V55" s="1509"/>
      <c r="W55" s="1509"/>
      <c r="X55" s="1509"/>
      <c r="Y55" s="1509"/>
      <c r="Z55" s="1509"/>
      <c r="AA55" s="1509"/>
      <c r="AB55" s="1509"/>
      <c r="AC55" s="1118"/>
    </row>
    <row r="56" spans="1:33" s="65" customFormat="1" ht="30.75" customHeight="1">
      <c r="A56" s="1508"/>
      <c r="B56" s="1508"/>
      <c r="C56" s="1226" t="s">
        <v>483</v>
      </c>
      <c r="D56" s="1509"/>
      <c r="E56" s="1509"/>
      <c r="F56" s="1509"/>
      <c r="G56" s="1509"/>
      <c r="H56" s="1509"/>
      <c r="I56" s="1509"/>
      <c r="J56" s="1509"/>
      <c r="K56" s="1509"/>
      <c r="L56" s="1509"/>
      <c r="M56" s="1509"/>
      <c r="N56" s="1509"/>
      <c r="O56" s="1509"/>
      <c r="P56" s="1509"/>
      <c r="Q56" s="1509"/>
      <c r="R56" s="1509"/>
      <c r="S56" s="1509"/>
      <c r="T56" s="1509"/>
      <c r="U56" s="1509"/>
      <c r="V56" s="1509"/>
      <c r="W56" s="1509"/>
      <c r="X56" s="1509"/>
      <c r="Y56" s="1509"/>
      <c r="Z56" s="1509"/>
      <c r="AA56" s="1509"/>
      <c r="AB56" s="1509"/>
      <c r="AC56" s="1118"/>
    </row>
    <row r="57" spans="1:33" s="65" customFormat="1" ht="30.75" customHeight="1">
      <c r="A57" s="1508"/>
      <c r="B57" s="1508"/>
      <c r="C57" s="1226" t="s">
        <v>484</v>
      </c>
      <c r="D57" s="1509"/>
      <c r="E57" s="1509"/>
      <c r="F57" s="1509"/>
      <c r="G57" s="1509"/>
      <c r="H57" s="1509"/>
      <c r="I57" s="1509"/>
      <c r="J57" s="1509"/>
      <c r="K57" s="1509"/>
      <c r="L57" s="1509"/>
      <c r="M57" s="1509"/>
      <c r="N57" s="1509"/>
      <c r="O57" s="1509"/>
      <c r="P57" s="1509"/>
      <c r="Q57" s="1509"/>
      <c r="R57" s="1509"/>
      <c r="S57" s="1509"/>
      <c r="T57" s="1509"/>
      <c r="U57" s="1509"/>
      <c r="V57" s="1509"/>
      <c r="W57" s="1509"/>
      <c r="X57" s="1509"/>
      <c r="Y57" s="1509"/>
      <c r="Z57" s="1509"/>
      <c r="AA57" s="1509"/>
      <c r="AB57" s="1509"/>
      <c r="AC57" s="1118"/>
    </row>
    <row r="58" spans="1:33" s="65" customFormat="1" ht="30.75" customHeight="1">
      <c r="A58" s="1508"/>
      <c r="B58" s="1508"/>
      <c r="C58" s="1226" t="s">
        <v>485</v>
      </c>
      <c r="D58" s="1509"/>
      <c r="E58" s="1509"/>
      <c r="F58" s="1509"/>
      <c r="G58" s="1509"/>
      <c r="H58" s="1509"/>
      <c r="I58" s="1509"/>
      <c r="J58" s="1509"/>
      <c r="K58" s="1509"/>
      <c r="L58" s="1509"/>
      <c r="M58" s="1509"/>
      <c r="N58" s="1509"/>
      <c r="O58" s="1509"/>
      <c r="P58" s="1509"/>
      <c r="Q58" s="1509"/>
      <c r="R58" s="1509"/>
      <c r="S58" s="1509"/>
      <c r="T58" s="1509"/>
      <c r="U58" s="1509"/>
      <c r="V58" s="1509"/>
      <c r="W58" s="1509"/>
      <c r="X58" s="1509"/>
      <c r="Y58" s="1509"/>
      <c r="Z58" s="1509"/>
      <c r="AA58" s="1509"/>
      <c r="AB58" s="1509"/>
      <c r="AC58" s="1118"/>
    </row>
    <row r="59" spans="1:33" s="65" customFormat="1" ht="30.75" customHeight="1">
      <c r="A59" s="1508"/>
      <c r="B59" s="1508"/>
      <c r="C59" s="1226" t="s">
        <v>486</v>
      </c>
      <c r="D59" s="1509"/>
      <c r="E59" s="1509"/>
      <c r="F59" s="1509"/>
      <c r="G59" s="1509"/>
      <c r="H59" s="1509"/>
      <c r="I59" s="1509"/>
      <c r="J59" s="1509"/>
      <c r="K59" s="1509"/>
      <c r="L59" s="1509"/>
      <c r="M59" s="1509"/>
      <c r="N59" s="1509"/>
      <c r="O59" s="1509"/>
      <c r="P59" s="1509"/>
      <c r="Q59" s="1509"/>
      <c r="R59" s="1509"/>
      <c r="S59" s="1509"/>
      <c r="T59" s="1509"/>
      <c r="U59" s="1509"/>
      <c r="V59" s="1509"/>
      <c r="W59" s="1509"/>
      <c r="X59" s="1509"/>
      <c r="Y59" s="1509"/>
      <c r="Z59" s="1509"/>
      <c r="AA59" s="1509"/>
      <c r="AB59" s="1509"/>
      <c r="AC59" s="1118"/>
    </row>
    <row r="60" spans="1:33" s="65" customFormat="1" ht="30.75" customHeight="1">
      <c r="A60" s="1508"/>
      <c r="B60" s="1508"/>
      <c r="C60" s="1226" t="s">
        <v>487</v>
      </c>
      <c r="D60" s="1509"/>
      <c r="E60" s="1509"/>
      <c r="F60" s="1509"/>
      <c r="G60" s="1509"/>
      <c r="H60" s="1509"/>
      <c r="I60" s="1509"/>
      <c r="J60" s="1509"/>
      <c r="K60" s="1509"/>
      <c r="L60" s="1509"/>
      <c r="M60" s="1509"/>
      <c r="N60" s="1509"/>
      <c r="O60" s="1509"/>
      <c r="P60" s="1509"/>
      <c r="Q60" s="1509"/>
      <c r="R60" s="1509"/>
      <c r="S60" s="1509"/>
      <c r="T60" s="1509"/>
      <c r="U60" s="1509"/>
      <c r="V60" s="1509"/>
      <c r="W60" s="1509"/>
      <c r="X60" s="1509"/>
      <c r="Y60" s="1509"/>
      <c r="Z60" s="1509"/>
      <c r="AA60" s="1509"/>
      <c r="AB60" s="1509"/>
      <c r="AC60" s="1118"/>
    </row>
    <row r="61" spans="1:33" s="65" customFormat="1" ht="30.75" customHeight="1">
      <c r="A61" s="1508"/>
      <c r="B61" s="1508"/>
      <c r="C61" s="1510" t="s">
        <v>488</v>
      </c>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132"/>
    </row>
    <row r="62" spans="1:33" s="65" customFormat="1" ht="30.75" customHeight="1">
      <c r="A62" s="1508"/>
      <c r="B62" s="1508"/>
      <c r="C62" s="1518" t="s">
        <v>489</v>
      </c>
      <c r="D62" s="1519"/>
      <c r="E62" s="1519"/>
      <c r="F62" s="1519"/>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20"/>
    </row>
    <row r="63" spans="1:33" s="213" customFormat="1" ht="33.75" customHeight="1">
      <c r="A63" s="1512" t="s">
        <v>490</v>
      </c>
      <c r="B63" s="1512"/>
      <c r="C63" s="1512"/>
      <c r="D63" s="1512"/>
      <c r="E63" s="1512"/>
      <c r="F63" s="1512"/>
      <c r="G63" s="1512"/>
      <c r="H63" s="1512"/>
      <c r="I63" s="1512"/>
      <c r="J63" s="1512"/>
      <c r="K63" s="1512"/>
      <c r="L63" s="1512"/>
      <c r="M63" s="1512"/>
      <c r="N63" s="1512"/>
      <c r="O63" s="1512"/>
      <c r="P63" s="1512"/>
      <c r="Q63" s="1512"/>
      <c r="R63" s="1512"/>
      <c r="S63" s="1512"/>
      <c r="T63" s="1512"/>
      <c r="U63" s="1512"/>
      <c r="V63" s="1512"/>
      <c r="W63" s="1512"/>
      <c r="X63" s="1512"/>
      <c r="Y63" s="1512"/>
      <c r="Z63" s="1512"/>
      <c r="AA63" s="1512"/>
      <c r="AB63" s="1512"/>
      <c r="AC63" s="1512"/>
      <c r="AD63" s="1512"/>
      <c r="AE63" s="1512"/>
      <c r="AF63" s="1512"/>
      <c r="AG63" s="1512"/>
    </row>
    <row r="64" spans="1:33" s="213" customFormat="1" ht="15.6" customHeight="1">
      <c r="A64" s="1539" t="s">
        <v>664</v>
      </c>
      <c r="B64" s="1539"/>
      <c r="C64" s="1539"/>
      <c r="D64" s="1539"/>
      <c r="E64" s="1539"/>
      <c r="F64" s="1539"/>
      <c r="G64" s="1539"/>
      <c r="H64" s="1539"/>
      <c r="I64" s="1539"/>
      <c r="J64" s="1539"/>
      <c r="K64" s="1539"/>
      <c r="L64" s="1539"/>
      <c r="M64" s="1539"/>
      <c r="N64" s="1539"/>
      <c r="O64" s="1539"/>
      <c r="P64" s="1539"/>
      <c r="Q64" s="1539"/>
      <c r="R64" s="1539"/>
      <c r="S64" s="1539"/>
      <c r="T64" s="1539"/>
      <c r="U64" s="1539"/>
      <c r="V64" s="1539"/>
      <c r="W64" s="1539"/>
      <c r="X64" s="1539"/>
      <c r="Y64" s="1539"/>
      <c r="Z64" s="1539"/>
      <c r="AA64" s="1539"/>
      <c r="AB64" s="1539"/>
      <c r="AC64" s="1539"/>
      <c r="AD64" s="1539"/>
      <c r="AE64" s="1539"/>
      <c r="AF64" s="1539"/>
      <c r="AG64" s="1539"/>
    </row>
    <row r="65" spans="1:33" s="65" customFormat="1" ht="15.6" customHeight="1">
      <c r="A65" s="62"/>
      <c r="B65" s="1539" t="s">
        <v>665</v>
      </c>
      <c r="C65" s="1539"/>
      <c r="D65" s="1539"/>
      <c r="E65" s="1539"/>
      <c r="F65" s="1539"/>
      <c r="G65" s="1539"/>
      <c r="H65" s="1539"/>
      <c r="I65" s="1539"/>
      <c r="J65" s="1539"/>
      <c r="K65" s="1539"/>
      <c r="L65" s="1539"/>
      <c r="M65" s="1539"/>
      <c r="N65" s="1539"/>
      <c r="O65" s="1539"/>
      <c r="P65" s="1539"/>
      <c r="Q65" s="1539"/>
      <c r="R65" s="1539"/>
      <c r="S65" s="1539"/>
      <c r="T65" s="1539"/>
      <c r="U65" s="1539"/>
      <c r="V65" s="1539"/>
      <c r="W65" s="1539"/>
      <c r="X65" s="1539"/>
      <c r="Y65" s="1539"/>
      <c r="Z65" s="1539"/>
      <c r="AA65" s="1539"/>
      <c r="AB65" s="1539"/>
      <c r="AC65" s="1539"/>
      <c r="AD65" s="1539"/>
      <c r="AE65" s="1539"/>
      <c r="AF65" s="1539"/>
      <c r="AG65" s="1539"/>
    </row>
    <row r="66" spans="1:33" s="65" customFormat="1" ht="27" customHeight="1">
      <c r="A66" s="62"/>
      <c r="B66" s="1512" t="s">
        <v>666</v>
      </c>
      <c r="C66" s="1512"/>
      <c r="D66" s="1512"/>
      <c r="E66" s="1512"/>
      <c r="F66" s="1512"/>
      <c r="G66" s="1512"/>
      <c r="H66" s="1512"/>
      <c r="I66" s="1512"/>
      <c r="J66" s="1512"/>
      <c r="K66" s="1512"/>
      <c r="L66" s="1512"/>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row>
    <row r="67" spans="1:33" s="65" customFormat="1" ht="15.6" customHeight="1">
      <c r="A67" s="67"/>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row>
    <row r="68" spans="1:33" s="65" customFormat="1" ht="15.6" customHeight="1">
      <c r="A68" s="354" t="s">
        <v>667</v>
      </c>
    </row>
    <row r="69" spans="1:33" s="65" customFormat="1" ht="15.6" customHeight="1">
      <c r="C69" s="1513" t="s">
        <v>668</v>
      </c>
      <c r="D69" s="1513"/>
      <c r="E69" s="1513"/>
      <c r="F69" s="1513"/>
      <c r="G69" s="1513"/>
      <c r="H69" s="1513"/>
      <c r="I69" s="1513"/>
      <c r="J69" s="1513"/>
      <c r="K69" s="1513"/>
      <c r="L69" s="1513"/>
      <c r="M69" s="1513"/>
      <c r="N69" s="1513"/>
      <c r="O69" s="1513"/>
      <c r="P69" s="1513"/>
      <c r="Q69" s="1513"/>
      <c r="R69" s="1513"/>
      <c r="S69" s="1513"/>
      <c r="T69" s="1513"/>
      <c r="U69" s="1513"/>
      <c r="V69" s="1513"/>
      <c r="W69" s="1513"/>
      <c r="X69" s="1513"/>
      <c r="Y69" s="1513"/>
      <c r="Z69" s="1513"/>
      <c r="AA69" s="1513"/>
      <c r="AB69" s="1513"/>
      <c r="AC69" s="1513"/>
      <c r="AD69" s="1513"/>
      <c r="AE69" s="1513"/>
      <c r="AF69" s="1513"/>
      <c r="AG69" s="1513"/>
    </row>
    <row r="70" spans="1:33" s="65" customFormat="1" ht="15.6" customHeight="1">
      <c r="C70" s="1513"/>
      <c r="D70" s="1513"/>
      <c r="E70" s="1513"/>
      <c r="F70" s="1513"/>
      <c r="G70" s="1513"/>
      <c r="H70" s="1513"/>
      <c r="I70" s="1513"/>
      <c r="J70" s="1513"/>
      <c r="K70" s="1513"/>
      <c r="L70" s="1513"/>
      <c r="M70" s="1513"/>
      <c r="N70" s="1513"/>
      <c r="O70" s="1513"/>
      <c r="P70" s="1513"/>
      <c r="Q70" s="1513"/>
      <c r="R70" s="1513"/>
      <c r="S70" s="1513"/>
      <c r="T70" s="1513"/>
      <c r="U70" s="1513"/>
      <c r="V70" s="1513"/>
      <c r="W70" s="1513"/>
      <c r="X70" s="1513"/>
      <c r="Y70" s="1513"/>
      <c r="Z70" s="1513"/>
      <c r="AA70" s="1513"/>
      <c r="AB70" s="1513"/>
      <c r="AC70" s="1513"/>
      <c r="AD70" s="1513"/>
      <c r="AE70" s="1513"/>
      <c r="AF70" s="1513"/>
      <c r="AG70" s="1513"/>
    </row>
    <row r="71" spans="1:33" s="65" customFormat="1" ht="15.6" customHeight="1">
      <c r="A71" s="62"/>
      <c r="B71" s="62"/>
      <c r="C71" s="62"/>
      <c r="D71" s="62"/>
      <c r="E71" s="62"/>
      <c r="F71" s="62"/>
      <c r="G71" s="62"/>
      <c r="H71" s="62"/>
      <c r="I71" s="62"/>
      <c r="J71" s="62"/>
      <c r="K71" s="62"/>
      <c r="L71" s="62"/>
      <c r="M71" s="62"/>
      <c r="N71" s="62"/>
      <c r="O71" s="62"/>
      <c r="P71" s="70"/>
      <c r="Q71" s="62"/>
      <c r="R71" s="62"/>
      <c r="S71" s="62"/>
      <c r="T71" s="62"/>
      <c r="U71" s="62"/>
      <c r="V71" s="62"/>
      <c r="W71" s="62"/>
      <c r="X71" s="62"/>
      <c r="Y71" s="62"/>
      <c r="Z71" s="62"/>
      <c r="AA71" s="62"/>
      <c r="AB71" s="62"/>
      <c r="AC71" s="62"/>
      <c r="AD71" s="62"/>
      <c r="AE71" s="62"/>
      <c r="AF71" s="62"/>
      <c r="AG71" s="62"/>
    </row>
    <row r="72" spans="1:33" s="65" customFormat="1" ht="24" customHeight="1">
      <c r="A72" s="62"/>
      <c r="B72" s="1451" t="s">
        <v>369</v>
      </c>
      <c r="C72" s="1451"/>
      <c r="D72" s="1451"/>
      <c r="E72" s="1451" t="s">
        <v>559</v>
      </c>
      <c r="F72" s="1451"/>
      <c r="G72" s="1451"/>
      <c r="H72" s="1451"/>
      <c r="I72" s="1451"/>
      <c r="J72" s="1451"/>
      <c r="K72" s="1451"/>
      <c r="L72" s="1451"/>
      <c r="M72" s="1451" t="s">
        <v>560</v>
      </c>
      <c r="N72" s="1451"/>
      <c r="O72" s="1451"/>
      <c r="P72" s="1451"/>
      <c r="Q72" s="1451"/>
      <c r="R72" s="1451" t="s">
        <v>561</v>
      </c>
      <c r="S72" s="1451"/>
      <c r="T72" s="1451"/>
      <c r="U72" s="1451"/>
      <c r="V72" s="1451"/>
      <c r="W72" s="1451"/>
      <c r="X72" s="1451"/>
      <c r="Y72" s="1451"/>
      <c r="Z72" s="1451" t="s">
        <v>562</v>
      </c>
      <c r="AA72" s="1451"/>
      <c r="AB72" s="1451"/>
      <c r="AC72" s="1451"/>
      <c r="AD72" s="1451"/>
      <c r="AE72" s="1451"/>
      <c r="AF72" s="1451"/>
      <c r="AG72" s="1451"/>
    </row>
    <row r="73" spans="1:33" s="65" customFormat="1" ht="20.25" customHeight="1">
      <c r="A73" s="62"/>
      <c r="B73" s="1442"/>
      <c r="C73" s="1443"/>
      <c r="D73" s="1444"/>
      <c r="E73" s="1530" t="s">
        <v>99</v>
      </c>
      <c r="F73" s="1531"/>
      <c r="G73" s="1531"/>
      <c r="H73" s="1531"/>
      <c r="I73" s="1531"/>
      <c r="J73" s="1531"/>
      <c r="K73" s="1531"/>
      <c r="L73" s="1532"/>
      <c r="M73" s="538" t="s">
        <v>669</v>
      </c>
      <c r="N73" s="349"/>
      <c r="O73" s="593"/>
      <c r="P73" s="539" t="s">
        <v>251</v>
      </c>
      <c r="Q73" s="350"/>
      <c r="R73" s="1442"/>
      <c r="S73" s="1443"/>
      <c r="T73" s="1443"/>
      <c r="U73" s="1443"/>
      <c r="V73" s="1443"/>
      <c r="W73" s="1443"/>
      <c r="X73" s="1443"/>
      <c r="Y73" s="1444"/>
      <c r="Z73" s="1442"/>
      <c r="AA73" s="1443"/>
      <c r="AB73" s="1443"/>
      <c r="AC73" s="1443"/>
      <c r="AD73" s="1443"/>
      <c r="AE73" s="1443"/>
      <c r="AF73" s="1443"/>
      <c r="AG73" s="1444"/>
    </row>
    <row r="74" spans="1:33" s="65" customFormat="1" ht="20.25" customHeight="1">
      <c r="A74" s="62"/>
      <c r="B74" s="1445"/>
      <c r="C74" s="1446"/>
      <c r="D74" s="1447"/>
      <c r="E74" s="1533"/>
      <c r="F74" s="852"/>
      <c r="G74" s="852"/>
      <c r="H74" s="852"/>
      <c r="I74" s="852"/>
      <c r="J74" s="852"/>
      <c r="K74" s="852"/>
      <c r="L74" s="1534"/>
      <c r="M74" s="1469" t="s">
        <v>564</v>
      </c>
      <c r="N74" s="842"/>
      <c r="O74" s="842"/>
      <c r="P74" s="842"/>
      <c r="Q74" s="1489"/>
      <c r="R74" s="1445"/>
      <c r="S74" s="1446"/>
      <c r="T74" s="1446"/>
      <c r="U74" s="1446"/>
      <c r="V74" s="1446"/>
      <c r="W74" s="1446"/>
      <c r="X74" s="1446"/>
      <c r="Y74" s="1447"/>
      <c r="Z74" s="1445"/>
      <c r="AA74" s="1446"/>
      <c r="AB74" s="1446"/>
      <c r="AC74" s="1446"/>
      <c r="AD74" s="1446"/>
      <c r="AE74" s="1446"/>
      <c r="AF74" s="1446"/>
      <c r="AG74" s="1447"/>
    </row>
    <row r="75" spans="1:33" s="65" customFormat="1" ht="20.25" customHeight="1">
      <c r="A75" s="62"/>
      <c r="B75" s="1448"/>
      <c r="C75" s="1449"/>
      <c r="D75" s="1450"/>
      <c r="E75" s="1535"/>
      <c r="F75" s="1536"/>
      <c r="G75" s="1536"/>
      <c r="H75" s="1536"/>
      <c r="I75" s="1536"/>
      <c r="J75" s="1536"/>
      <c r="K75" s="1536"/>
      <c r="L75" s="1537"/>
      <c r="M75" s="540" t="s">
        <v>669</v>
      </c>
      <c r="N75" s="351"/>
      <c r="O75" s="594"/>
      <c r="P75" s="541" t="s">
        <v>251</v>
      </c>
      <c r="Q75" s="352"/>
      <c r="R75" s="1448"/>
      <c r="S75" s="1449"/>
      <c r="T75" s="1449"/>
      <c r="U75" s="1449"/>
      <c r="V75" s="1449"/>
      <c r="W75" s="1449"/>
      <c r="X75" s="1449"/>
      <c r="Y75" s="1450"/>
      <c r="Z75" s="1448"/>
      <c r="AA75" s="1449"/>
      <c r="AB75" s="1449"/>
      <c r="AC75" s="1449"/>
      <c r="AD75" s="1449"/>
      <c r="AE75" s="1449"/>
      <c r="AF75" s="1449"/>
      <c r="AG75" s="1450"/>
    </row>
    <row r="76" spans="1:33" s="65" customFormat="1" ht="15.6" customHeight="1">
      <c r="B76" s="1538" t="s">
        <v>670</v>
      </c>
      <c r="C76" s="1538"/>
      <c r="D76" s="1538"/>
      <c r="E76" s="1538"/>
      <c r="F76" s="1538"/>
      <c r="G76" s="1538"/>
      <c r="H76" s="1538"/>
      <c r="I76" s="1538"/>
      <c r="J76" s="1538"/>
      <c r="K76" s="1538"/>
      <c r="L76" s="1538"/>
      <c r="M76" s="1538"/>
      <c r="N76" s="1538"/>
      <c r="O76" s="1538"/>
      <c r="P76" s="1538"/>
      <c r="Q76" s="1538"/>
      <c r="R76" s="1538"/>
      <c r="S76" s="1538"/>
      <c r="T76" s="1538"/>
      <c r="U76" s="1538"/>
      <c r="V76" s="1538"/>
      <c r="W76" s="1538"/>
      <c r="X76" s="1538"/>
      <c r="Y76" s="1538"/>
      <c r="Z76" s="1538"/>
      <c r="AA76" s="1538"/>
      <c r="AB76" s="1538"/>
      <c r="AC76" s="1538"/>
      <c r="AD76" s="1538"/>
      <c r="AE76" s="1538"/>
      <c r="AF76" s="1538"/>
      <c r="AG76" s="1538"/>
    </row>
    <row r="77" spans="1:33" s="65" customFormat="1" ht="15.6" customHeight="1">
      <c r="B77" s="1513" t="s">
        <v>671</v>
      </c>
      <c r="C77" s="1513"/>
      <c r="D77" s="1513"/>
      <c r="E77" s="1513"/>
      <c r="F77" s="151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row>
    <row r="78" spans="1:33" s="65" customFormat="1" ht="15.6" customHeight="1">
      <c r="B78" s="1513"/>
      <c r="C78" s="1513"/>
      <c r="D78" s="1513"/>
      <c r="E78" s="1513"/>
      <c r="F78" s="1513"/>
      <c r="G78" s="1513"/>
      <c r="H78" s="1513"/>
      <c r="I78" s="1513"/>
      <c r="J78" s="1513"/>
      <c r="K78" s="1513"/>
      <c r="L78" s="1513"/>
      <c r="M78" s="1513"/>
      <c r="N78" s="1513"/>
      <c r="O78" s="1513"/>
      <c r="P78" s="1513"/>
      <c r="Q78" s="1513"/>
      <c r="R78" s="1513"/>
      <c r="S78" s="1513"/>
      <c r="T78" s="1513"/>
      <c r="U78" s="1513"/>
      <c r="V78" s="1513"/>
      <c r="W78" s="1513"/>
      <c r="X78" s="1513"/>
      <c r="Y78" s="1513"/>
      <c r="Z78" s="1513"/>
      <c r="AA78" s="1513"/>
      <c r="AB78" s="1513"/>
      <c r="AC78" s="1513"/>
      <c r="AD78" s="1513"/>
      <c r="AE78" s="1513"/>
      <c r="AF78" s="1513"/>
      <c r="AG78" s="1513"/>
    </row>
    <row r="79" spans="1:33" s="65" customFormat="1" ht="15.6" customHeight="1">
      <c r="A79" s="62"/>
      <c r="B79" s="62"/>
      <c r="C79" s="62"/>
      <c r="D79" s="62"/>
      <c r="E79" s="62"/>
      <c r="F79" s="62"/>
      <c r="G79" s="62"/>
      <c r="H79" s="62"/>
      <c r="I79" s="62"/>
      <c r="J79" s="62"/>
      <c r="K79" s="62"/>
      <c r="L79" s="62"/>
      <c r="M79" s="62"/>
      <c r="N79" s="62"/>
      <c r="O79" s="62"/>
      <c r="P79" s="70"/>
      <c r="Q79" s="62"/>
      <c r="R79" s="62"/>
      <c r="S79" s="62"/>
      <c r="T79" s="62"/>
      <c r="U79" s="62"/>
      <c r="V79" s="62"/>
      <c r="W79" s="62"/>
      <c r="X79" s="62"/>
      <c r="Y79" s="62"/>
      <c r="Z79" s="62"/>
      <c r="AA79" s="62"/>
      <c r="AB79" s="62"/>
      <c r="AC79" s="62"/>
      <c r="AD79" s="62"/>
      <c r="AE79" s="62"/>
      <c r="AF79" s="62"/>
      <c r="AG79" s="62"/>
    </row>
    <row r="80" spans="1:33" s="65" customFormat="1" ht="15.6"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row>
    <row r="81" spans="1:33" s="65" customFormat="1" ht="15.6"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1:33" s="65" customFormat="1" ht="13.5" customHeight="1"/>
    <row r="83" spans="1:33" s="65" customFormat="1" ht="54" customHeight="1"/>
    <row r="84" spans="1:33" s="65" customFormat="1" ht="36" customHeight="1"/>
    <row r="85" spans="1:33" s="70" customFormat="1" ht="36"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row>
    <row r="86" spans="1:33" s="65" customFormat="1"/>
    <row r="87" spans="1:33" s="65" customFormat="1" ht="13.5" customHeight="1"/>
    <row r="88" spans="1:33" s="65" customFormat="1" ht="13.5" customHeight="1"/>
    <row r="89" spans="1:33" s="65" customFormat="1" ht="13.5" customHeight="1"/>
    <row r="90" spans="1:33" s="65" customFormat="1" ht="13.5" customHeight="1"/>
    <row r="91" spans="1:33" s="65" customFormat="1" ht="13.5" customHeight="1"/>
    <row r="92" spans="1:33" s="65" customFormat="1" ht="13.5" customHeight="1"/>
    <row r="93" spans="1:33" s="65" customFormat="1" ht="13.5" customHeight="1"/>
    <row r="94" spans="1:33" s="65" customFormat="1" ht="13.5" customHeight="1"/>
    <row r="95" spans="1:33" s="65" customFormat="1" ht="27" customHeight="1"/>
    <row r="96" spans="1:33" s="65" customFormat="1" ht="13.5" customHeight="1"/>
    <row r="97" s="65" customFormat="1" ht="13.5" customHeight="1"/>
    <row r="98" s="65" customFormat="1" ht="13.5" customHeight="1"/>
    <row r="99" s="65" customFormat="1" ht="13.5" customHeight="1"/>
    <row r="100" s="65" customFormat="1" ht="13.5" customHeight="1"/>
    <row r="101" s="65" customFormat="1"/>
    <row r="102" s="65" customFormat="1" ht="13.5" customHeight="1"/>
    <row r="103" s="65" customFormat="1" ht="13.5" customHeight="1"/>
    <row r="104" s="65" customFormat="1" ht="13.5" customHeight="1"/>
    <row r="105" s="65" customFormat="1" ht="13.5" customHeight="1"/>
    <row r="106" s="65" customFormat="1" ht="13.5" customHeight="1"/>
    <row r="107" s="65" customFormat="1" ht="13.5" customHeight="1"/>
    <row r="108" s="65" customFormat="1" ht="13.5" customHeight="1"/>
    <row r="109" s="65" customFormat="1" ht="13.5" customHeight="1"/>
    <row r="110" s="65" customFormat="1" ht="13.5" customHeight="1"/>
    <row r="111" s="65" customFormat="1" ht="13.5" customHeight="1"/>
    <row r="112" s="65" customFormat="1" ht="13.5" customHeight="1"/>
    <row r="113" s="65" customFormat="1" ht="13.5" customHeight="1"/>
    <row r="114" s="65" customFormat="1" ht="27" customHeight="1"/>
    <row r="115" s="65" customFormat="1" ht="13.5" customHeight="1"/>
    <row r="116" s="65" customFormat="1" ht="27" customHeight="1"/>
    <row r="117" s="65" customFormat="1" ht="13.5" customHeight="1"/>
    <row r="118" s="65" customFormat="1" ht="13.5" customHeight="1"/>
    <row r="119" s="65" customFormat="1" ht="13.5" customHeight="1"/>
    <row r="120" s="65" customFormat="1" ht="13.5" customHeight="1"/>
    <row r="121" s="65" customFormat="1" ht="13.5" customHeight="1"/>
    <row r="122" s="65" customFormat="1" ht="13.5" customHeight="1"/>
    <row r="123" s="65" customFormat="1" ht="13.5" customHeight="1"/>
    <row r="124" s="65" customFormat="1" ht="13.5" customHeight="1"/>
    <row r="125" s="65" customFormat="1" ht="13.5" customHeight="1"/>
    <row r="126" s="65" customFormat="1" ht="27" customHeight="1"/>
    <row r="127" s="65" customFormat="1" ht="27" customHeight="1"/>
    <row r="130" s="65" customFormat="1"/>
    <row r="131" s="65" customFormat="1"/>
    <row r="148" s="65" customFormat="1" ht="40.5" customHeight="1"/>
    <row r="176" s="65" customFormat="1" ht="13.5" customHeight="1"/>
    <row r="191" s="65" customFormat="1" ht="13.5" customHeight="1"/>
    <row r="200" s="65" customFormat="1" ht="40.5" customHeight="1"/>
    <row r="201" s="65"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T134"/>
  <sheetViews>
    <sheetView showGridLines="0" view="pageBreakPreview" zoomScale="115" zoomScaleNormal="80" zoomScaleSheetLayoutView="115" workbookViewId="0">
      <selection activeCell="J14" sqref="J14"/>
    </sheetView>
  </sheetViews>
  <sheetFormatPr defaultRowHeight="13.5"/>
  <cols>
    <col min="1" max="1" width="12.125" customWidth="1"/>
    <col min="2" max="4" width="6.875" customWidth="1"/>
    <col min="5" max="6" width="7.75" customWidth="1"/>
    <col min="7" max="7" width="9.625" bestFit="1" customWidth="1"/>
    <col min="8" max="8" width="6.875" customWidth="1"/>
    <col min="9" max="9" width="10.75" bestFit="1" customWidth="1"/>
    <col min="10" max="16" width="6.875" customWidth="1"/>
    <col min="17" max="17" width="8.625" customWidth="1"/>
    <col min="18" max="22" width="2.875" customWidth="1"/>
  </cols>
  <sheetData>
    <row r="1" spans="1:17" s="12" customFormat="1" ht="15.6" customHeight="1">
      <c r="A1" s="67"/>
      <c r="B1" s="67"/>
      <c r="C1" s="67"/>
      <c r="D1" s="67"/>
      <c r="E1" s="67"/>
      <c r="F1" s="67"/>
      <c r="G1" s="67"/>
      <c r="H1" s="67"/>
      <c r="I1" s="67"/>
      <c r="J1" s="67"/>
      <c r="K1" s="67"/>
      <c r="L1" s="67"/>
      <c r="M1" s="67"/>
      <c r="N1" s="67"/>
      <c r="O1" s="67"/>
      <c r="P1" s="67"/>
      <c r="Q1" s="66"/>
    </row>
    <row r="2" spans="1:17" s="67" customFormat="1" ht="18" customHeight="1">
      <c r="A2" s="68" t="s">
        <v>53</v>
      </c>
      <c r="Q2" s="66"/>
    </row>
    <row r="3" spans="1:17" s="12" customFormat="1" ht="15" customHeight="1" thickBot="1">
      <c r="A3" s="1552" t="s">
        <v>672</v>
      </c>
      <c r="B3" s="1553"/>
      <c r="C3" s="1554" t="str">
        <f>はじめに!D4</f>
        <v>三原市</v>
      </c>
      <c r="D3" s="1555"/>
      <c r="E3" s="67" t="s">
        <v>673</v>
      </c>
      <c r="F3" s="67" t="s">
        <v>673</v>
      </c>
      <c r="G3" s="67"/>
      <c r="H3" s="67"/>
      <c r="I3" s="67"/>
      <c r="J3" s="67"/>
      <c r="K3" s="67"/>
      <c r="L3" s="67"/>
      <c r="M3" s="67"/>
      <c r="N3" s="67"/>
      <c r="O3" s="67"/>
      <c r="P3" s="67"/>
      <c r="Q3" s="66"/>
    </row>
    <row r="4" spans="1:17" s="12" customFormat="1" ht="15.75" customHeight="1">
      <c r="A4" s="1556" t="s">
        <v>674</v>
      </c>
      <c r="B4" s="1550" t="s">
        <v>675</v>
      </c>
      <c r="C4" s="1550" t="s">
        <v>676</v>
      </c>
      <c r="D4" s="1550" t="s">
        <v>677</v>
      </c>
      <c r="E4" s="1550" t="s">
        <v>2120</v>
      </c>
      <c r="F4" s="1550" t="s">
        <v>2121</v>
      </c>
      <c r="G4" s="1550" t="s">
        <v>398</v>
      </c>
      <c r="H4" s="1550" t="s">
        <v>678</v>
      </c>
      <c r="I4" s="1550" t="s">
        <v>1848</v>
      </c>
      <c r="J4" s="1550" t="s">
        <v>679</v>
      </c>
      <c r="K4" s="1558" t="s">
        <v>680</v>
      </c>
      <c r="L4" s="1559"/>
      <c r="M4" s="1550" t="s">
        <v>681</v>
      </c>
      <c r="N4" s="1550" t="s">
        <v>682</v>
      </c>
      <c r="O4" s="1550" t="s">
        <v>683</v>
      </c>
      <c r="P4" s="1550" t="s">
        <v>684</v>
      </c>
      <c r="Q4" s="1550" t="s">
        <v>685</v>
      </c>
    </row>
    <row r="5" spans="1:17" s="12" customFormat="1" ht="46.15" customHeight="1" thickBot="1">
      <c r="A5" s="1557"/>
      <c r="B5" s="1551"/>
      <c r="C5" s="1551"/>
      <c r="D5" s="1551"/>
      <c r="E5" s="1551"/>
      <c r="F5" s="1551"/>
      <c r="G5" s="1551"/>
      <c r="H5" s="1551"/>
      <c r="I5" s="1551"/>
      <c r="J5" s="1551"/>
      <c r="K5" s="601" t="s">
        <v>686</v>
      </c>
      <c r="L5" s="601" t="s">
        <v>687</v>
      </c>
      <c r="M5" s="1551"/>
      <c r="N5" s="1551"/>
      <c r="O5" s="1551"/>
      <c r="P5" s="1551"/>
      <c r="Q5" s="1551"/>
    </row>
    <row r="6" spans="1:17" s="12" customFormat="1" ht="18.75" customHeight="1">
      <c r="A6" s="1540" t="s">
        <v>1811</v>
      </c>
      <c r="B6" s="636" t="s">
        <v>1814</v>
      </c>
      <c r="C6" s="636" t="s">
        <v>1815</v>
      </c>
      <c r="D6" s="636" t="s">
        <v>1847</v>
      </c>
      <c r="E6" s="781">
        <v>50</v>
      </c>
      <c r="F6" s="636" t="s">
        <v>2123</v>
      </c>
      <c r="G6" s="787">
        <v>2549</v>
      </c>
      <c r="H6" s="784">
        <f>IF(E6="","",(IF(0&lt;E6-20,8000,21000)))</f>
        <v>8000</v>
      </c>
      <c r="I6" s="784">
        <f>ROUNDDOWN(G6*H6/1000,0)</f>
        <v>20392</v>
      </c>
      <c r="J6" s="636" t="s">
        <v>1850</v>
      </c>
      <c r="K6" s="636" t="s">
        <v>2126</v>
      </c>
      <c r="L6" s="636" t="s">
        <v>1849</v>
      </c>
      <c r="M6" s="636" t="s">
        <v>1752</v>
      </c>
      <c r="N6" s="638">
        <v>42826</v>
      </c>
      <c r="O6" s="638">
        <v>46477</v>
      </c>
      <c r="P6" s="638">
        <v>42822</v>
      </c>
      <c r="Q6" s="1545" t="s">
        <v>1858</v>
      </c>
    </row>
    <row r="7" spans="1:17" s="12" customFormat="1" ht="18.75" customHeight="1">
      <c r="A7" s="1541"/>
      <c r="B7" s="630" t="s">
        <v>1814</v>
      </c>
      <c r="C7" s="630" t="s">
        <v>1816</v>
      </c>
      <c r="D7" s="630" t="s">
        <v>1847</v>
      </c>
      <c r="E7" s="782">
        <v>50</v>
      </c>
      <c r="F7" s="630" t="s">
        <v>2123</v>
      </c>
      <c r="G7" s="788">
        <v>1542</v>
      </c>
      <c r="H7" s="785">
        <f>IF(E7="","",(IF(0&lt;E7-20,8000,21000)))</f>
        <v>8000</v>
      </c>
      <c r="I7" s="785">
        <f>ROUNDDOWN(G7*H7/1000,0)</f>
        <v>12336</v>
      </c>
      <c r="J7" s="630" t="s">
        <v>1850</v>
      </c>
      <c r="K7" s="630" t="s">
        <v>2126</v>
      </c>
      <c r="L7" s="630" t="s">
        <v>1849</v>
      </c>
      <c r="M7" s="630" t="s">
        <v>1751</v>
      </c>
      <c r="N7" s="639">
        <v>42826</v>
      </c>
      <c r="O7" s="639">
        <v>46477</v>
      </c>
      <c r="P7" s="639">
        <v>42822</v>
      </c>
      <c r="Q7" s="1546"/>
    </row>
    <row r="8" spans="1:17" s="12" customFormat="1" ht="18.75" customHeight="1">
      <c r="A8" s="1541"/>
      <c r="B8" s="630" t="s">
        <v>1813</v>
      </c>
      <c r="C8" s="630">
        <v>112</v>
      </c>
      <c r="D8" s="630" t="s">
        <v>1847</v>
      </c>
      <c r="E8" s="782">
        <v>50</v>
      </c>
      <c r="F8" s="630" t="s">
        <v>2123</v>
      </c>
      <c r="G8" s="788">
        <v>925</v>
      </c>
      <c r="H8" s="785">
        <f t="shared" ref="H8:H60" si="0">IF(E8="","",(IF(0&lt;E8-20,8000,21000)))</f>
        <v>8000</v>
      </c>
      <c r="I8" s="785">
        <f t="shared" ref="I8:I60" si="1">ROUNDDOWN(G8*H8/1000,0)</f>
        <v>7400</v>
      </c>
      <c r="J8" s="630" t="s">
        <v>1850</v>
      </c>
      <c r="K8" s="630" t="s">
        <v>2126</v>
      </c>
      <c r="L8" s="630" t="s">
        <v>1849</v>
      </c>
      <c r="M8" s="630" t="s">
        <v>1751</v>
      </c>
      <c r="N8" s="639">
        <v>42826</v>
      </c>
      <c r="O8" s="639">
        <v>46477</v>
      </c>
      <c r="P8" s="639">
        <v>42822</v>
      </c>
      <c r="Q8" s="1546"/>
    </row>
    <row r="9" spans="1:17" s="12" customFormat="1" ht="18.75" customHeight="1">
      <c r="A9" s="1541"/>
      <c r="B9" s="630" t="s">
        <v>1813</v>
      </c>
      <c r="C9" s="630">
        <v>113</v>
      </c>
      <c r="D9" s="630" t="s">
        <v>1847</v>
      </c>
      <c r="E9" s="782">
        <v>50</v>
      </c>
      <c r="F9" s="630" t="s">
        <v>2123</v>
      </c>
      <c r="G9" s="788">
        <v>1113</v>
      </c>
      <c r="H9" s="785">
        <f t="shared" si="0"/>
        <v>8000</v>
      </c>
      <c r="I9" s="785">
        <f t="shared" si="1"/>
        <v>8904</v>
      </c>
      <c r="J9" s="630" t="s">
        <v>1850</v>
      </c>
      <c r="K9" s="630" t="s">
        <v>2126</v>
      </c>
      <c r="L9" s="630" t="s">
        <v>1849</v>
      </c>
      <c r="M9" s="630" t="s">
        <v>1751</v>
      </c>
      <c r="N9" s="639">
        <v>42826</v>
      </c>
      <c r="O9" s="639">
        <v>46477</v>
      </c>
      <c r="P9" s="639">
        <v>42822</v>
      </c>
      <c r="Q9" s="1546"/>
    </row>
    <row r="10" spans="1:17" s="12" customFormat="1" ht="18.75" customHeight="1">
      <c r="A10" s="1541"/>
      <c r="B10" s="630" t="s">
        <v>1813</v>
      </c>
      <c r="C10" s="630" t="s">
        <v>1817</v>
      </c>
      <c r="D10" s="630" t="s">
        <v>1847</v>
      </c>
      <c r="E10" s="782">
        <v>50</v>
      </c>
      <c r="F10" s="630" t="s">
        <v>2123</v>
      </c>
      <c r="G10" s="788">
        <v>832</v>
      </c>
      <c r="H10" s="785">
        <f t="shared" si="0"/>
        <v>8000</v>
      </c>
      <c r="I10" s="785">
        <f t="shared" si="1"/>
        <v>6656</v>
      </c>
      <c r="J10" s="630" t="s">
        <v>1850</v>
      </c>
      <c r="K10" s="630" t="s">
        <v>2126</v>
      </c>
      <c r="L10" s="630" t="s">
        <v>1849</v>
      </c>
      <c r="M10" s="630" t="s">
        <v>1751</v>
      </c>
      <c r="N10" s="639">
        <v>42826</v>
      </c>
      <c r="O10" s="639">
        <v>46477</v>
      </c>
      <c r="P10" s="639">
        <v>42822</v>
      </c>
      <c r="Q10" s="1546"/>
    </row>
    <row r="11" spans="1:17" s="12" customFormat="1" ht="18.75" customHeight="1">
      <c r="A11" s="1541"/>
      <c r="B11" s="630" t="s">
        <v>1813</v>
      </c>
      <c r="C11" s="630" t="s">
        <v>1818</v>
      </c>
      <c r="D11" s="630" t="s">
        <v>1847</v>
      </c>
      <c r="E11" s="782">
        <v>50</v>
      </c>
      <c r="F11" s="630" t="s">
        <v>2123</v>
      </c>
      <c r="G11" s="788">
        <v>485</v>
      </c>
      <c r="H11" s="785">
        <f t="shared" si="0"/>
        <v>8000</v>
      </c>
      <c r="I11" s="785">
        <f t="shared" si="1"/>
        <v>3880</v>
      </c>
      <c r="J11" s="630" t="s">
        <v>1850</v>
      </c>
      <c r="K11" s="630" t="s">
        <v>2126</v>
      </c>
      <c r="L11" s="630" t="s">
        <v>1849</v>
      </c>
      <c r="M11" s="630" t="s">
        <v>1751</v>
      </c>
      <c r="N11" s="639">
        <v>42826</v>
      </c>
      <c r="O11" s="639">
        <v>46477</v>
      </c>
      <c r="P11" s="639">
        <v>42822</v>
      </c>
      <c r="Q11" s="1546"/>
    </row>
    <row r="12" spans="1:17" s="12" customFormat="1" ht="18.75" customHeight="1">
      <c r="A12" s="1541"/>
      <c r="B12" s="630" t="s">
        <v>1813</v>
      </c>
      <c r="C12" s="630" t="s">
        <v>1819</v>
      </c>
      <c r="D12" s="630" t="s">
        <v>1847</v>
      </c>
      <c r="E12" s="782">
        <v>50</v>
      </c>
      <c r="F12" s="630" t="s">
        <v>2123</v>
      </c>
      <c r="G12" s="788">
        <v>945</v>
      </c>
      <c r="H12" s="785">
        <f t="shared" si="0"/>
        <v>8000</v>
      </c>
      <c r="I12" s="785">
        <f t="shared" si="1"/>
        <v>7560</v>
      </c>
      <c r="J12" s="630" t="s">
        <v>1850</v>
      </c>
      <c r="K12" s="630" t="s">
        <v>2127</v>
      </c>
      <c r="L12" s="630" t="s">
        <v>1755</v>
      </c>
      <c r="M12" s="630" t="s">
        <v>1751</v>
      </c>
      <c r="N12" s="639">
        <v>42826</v>
      </c>
      <c r="O12" s="639">
        <v>46477</v>
      </c>
      <c r="P12" s="639">
        <v>42822</v>
      </c>
      <c r="Q12" s="1546"/>
    </row>
    <row r="13" spans="1:17" s="12" customFormat="1" ht="18.75" customHeight="1">
      <c r="A13" s="1541"/>
      <c r="B13" s="630" t="s">
        <v>1813</v>
      </c>
      <c r="C13" s="630">
        <v>116</v>
      </c>
      <c r="D13" s="630" t="s">
        <v>1847</v>
      </c>
      <c r="E13" s="782">
        <v>18</v>
      </c>
      <c r="F13" s="630" t="s">
        <v>2124</v>
      </c>
      <c r="G13" s="788">
        <v>712</v>
      </c>
      <c r="H13" s="785">
        <f t="shared" si="0"/>
        <v>21000</v>
      </c>
      <c r="I13" s="785">
        <f t="shared" si="1"/>
        <v>14952</v>
      </c>
      <c r="J13" s="630" t="s">
        <v>1851</v>
      </c>
      <c r="K13" s="630" t="s">
        <v>2126</v>
      </c>
      <c r="L13" s="630" t="s">
        <v>1849</v>
      </c>
      <c r="M13" s="630" t="s">
        <v>1852</v>
      </c>
      <c r="N13" s="639">
        <v>42826</v>
      </c>
      <c r="O13" s="639">
        <v>46477</v>
      </c>
      <c r="P13" s="639">
        <v>42822</v>
      </c>
      <c r="Q13" s="1546"/>
    </row>
    <row r="14" spans="1:17" s="12" customFormat="1" ht="18.75" customHeight="1">
      <c r="A14" s="1541"/>
      <c r="B14" s="630" t="s">
        <v>1813</v>
      </c>
      <c r="C14" s="630" t="s">
        <v>1820</v>
      </c>
      <c r="D14" s="630" t="s">
        <v>1847</v>
      </c>
      <c r="E14" s="782">
        <v>18</v>
      </c>
      <c r="F14" s="630" t="s">
        <v>2124</v>
      </c>
      <c r="G14" s="788">
        <v>894</v>
      </c>
      <c r="H14" s="785">
        <f t="shared" si="0"/>
        <v>21000</v>
      </c>
      <c r="I14" s="785">
        <f t="shared" si="1"/>
        <v>18774</v>
      </c>
      <c r="J14" s="630" t="s">
        <v>1851</v>
      </c>
      <c r="K14" s="630" t="s">
        <v>2126</v>
      </c>
      <c r="L14" s="630" t="s">
        <v>1849</v>
      </c>
      <c r="M14" s="630" t="s">
        <v>1852</v>
      </c>
      <c r="N14" s="639">
        <v>42826</v>
      </c>
      <c r="O14" s="639">
        <v>46477</v>
      </c>
      <c r="P14" s="639">
        <v>42822</v>
      </c>
      <c r="Q14" s="1546"/>
    </row>
    <row r="15" spans="1:17" s="12" customFormat="1" ht="18.75" customHeight="1">
      <c r="A15" s="1541"/>
      <c r="B15" s="630" t="s">
        <v>1813</v>
      </c>
      <c r="C15" s="630" t="s">
        <v>1821</v>
      </c>
      <c r="D15" s="630" t="s">
        <v>1847</v>
      </c>
      <c r="E15" s="782">
        <v>18</v>
      </c>
      <c r="F15" s="630" t="s">
        <v>2124</v>
      </c>
      <c r="G15" s="788">
        <v>100</v>
      </c>
      <c r="H15" s="785">
        <f t="shared" si="0"/>
        <v>21000</v>
      </c>
      <c r="I15" s="785">
        <f t="shared" si="1"/>
        <v>2100</v>
      </c>
      <c r="J15" s="630" t="s">
        <v>1851</v>
      </c>
      <c r="K15" s="630" t="s">
        <v>2126</v>
      </c>
      <c r="L15" s="630" t="s">
        <v>1849</v>
      </c>
      <c r="M15" s="630" t="s">
        <v>1852</v>
      </c>
      <c r="N15" s="639">
        <v>42826</v>
      </c>
      <c r="O15" s="639">
        <v>46477</v>
      </c>
      <c r="P15" s="639">
        <v>42822</v>
      </c>
      <c r="Q15" s="1546"/>
    </row>
    <row r="16" spans="1:17" s="12" customFormat="1" ht="18.75" customHeight="1">
      <c r="A16" s="1541"/>
      <c r="B16" s="630" t="s">
        <v>1813</v>
      </c>
      <c r="C16" s="630">
        <v>119</v>
      </c>
      <c r="D16" s="630" t="s">
        <v>1847</v>
      </c>
      <c r="E16" s="782">
        <v>18</v>
      </c>
      <c r="F16" s="630" t="s">
        <v>2124</v>
      </c>
      <c r="G16" s="788">
        <v>512</v>
      </c>
      <c r="H16" s="785">
        <f t="shared" si="0"/>
        <v>21000</v>
      </c>
      <c r="I16" s="785">
        <f t="shared" si="1"/>
        <v>10752</v>
      </c>
      <c r="J16" s="630" t="s">
        <v>1851</v>
      </c>
      <c r="K16" s="630" t="s">
        <v>2126</v>
      </c>
      <c r="L16" s="630" t="s">
        <v>1849</v>
      </c>
      <c r="M16" s="630" t="s">
        <v>1852</v>
      </c>
      <c r="N16" s="639">
        <v>42826</v>
      </c>
      <c r="O16" s="639">
        <v>46477</v>
      </c>
      <c r="P16" s="639">
        <v>42822</v>
      </c>
      <c r="Q16" s="1546"/>
    </row>
    <row r="17" spans="1:17" s="12" customFormat="1" ht="18.75" customHeight="1">
      <c r="A17" s="1541"/>
      <c r="B17" s="630" t="s">
        <v>1813</v>
      </c>
      <c r="C17" s="630">
        <v>120</v>
      </c>
      <c r="D17" s="630" t="s">
        <v>1847</v>
      </c>
      <c r="E17" s="782">
        <v>18</v>
      </c>
      <c r="F17" s="630" t="s">
        <v>2124</v>
      </c>
      <c r="G17" s="788">
        <v>666</v>
      </c>
      <c r="H17" s="785">
        <f t="shared" si="0"/>
        <v>21000</v>
      </c>
      <c r="I17" s="785">
        <f t="shared" si="1"/>
        <v>13986</v>
      </c>
      <c r="J17" s="630" t="s">
        <v>1851</v>
      </c>
      <c r="K17" s="630" t="s">
        <v>2126</v>
      </c>
      <c r="L17" s="630" t="s">
        <v>1849</v>
      </c>
      <c r="M17" s="630" t="s">
        <v>1852</v>
      </c>
      <c r="N17" s="639">
        <v>42826</v>
      </c>
      <c r="O17" s="639">
        <v>46477</v>
      </c>
      <c r="P17" s="639">
        <v>42822</v>
      </c>
      <c r="Q17" s="1546"/>
    </row>
    <row r="18" spans="1:17" s="12" customFormat="1" ht="18.75" customHeight="1">
      <c r="A18" s="1541"/>
      <c r="B18" s="630" t="s">
        <v>1813</v>
      </c>
      <c r="C18" s="630" t="s">
        <v>1822</v>
      </c>
      <c r="D18" s="630" t="s">
        <v>1847</v>
      </c>
      <c r="E18" s="782">
        <v>18</v>
      </c>
      <c r="F18" s="630" t="s">
        <v>2124</v>
      </c>
      <c r="G18" s="788">
        <v>200</v>
      </c>
      <c r="H18" s="785">
        <f t="shared" si="0"/>
        <v>21000</v>
      </c>
      <c r="I18" s="785">
        <f t="shared" si="1"/>
        <v>4200</v>
      </c>
      <c r="J18" s="630" t="s">
        <v>1851</v>
      </c>
      <c r="K18" s="630" t="s">
        <v>2126</v>
      </c>
      <c r="L18" s="630" t="s">
        <v>1849</v>
      </c>
      <c r="M18" s="630" t="s">
        <v>1852</v>
      </c>
      <c r="N18" s="639">
        <v>42826</v>
      </c>
      <c r="O18" s="639">
        <v>46477</v>
      </c>
      <c r="P18" s="639">
        <v>42822</v>
      </c>
      <c r="Q18" s="1546"/>
    </row>
    <row r="19" spans="1:17" s="12" customFormat="1" ht="18.75" customHeight="1">
      <c r="A19" s="1541"/>
      <c r="B19" s="630" t="s">
        <v>1813</v>
      </c>
      <c r="C19" s="630" t="s">
        <v>1823</v>
      </c>
      <c r="D19" s="630" t="s">
        <v>1847</v>
      </c>
      <c r="E19" s="782">
        <v>18</v>
      </c>
      <c r="F19" s="630" t="s">
        <v>2124</v>
      </c>
      <c r="G19" s="788">
        <v>173</v>
      </c>
      <c r="H19" s="785">
        <f t="shared" si="0"/>
        <v>21000</v>
      </c>
      <c r="I19" s="785">
        <f t="shared" si="1"/>
        <v>3633</v>
      </c>
      <c r="J19" s="630" t="s">
        <v>1851</v>
      </c>
      <c r="K19" s="630" t="s">
        <v>2126</v>
      </c>
      <c r="L19" s="630" t="s">
        <v>1849</v>
      </c>
      <c r="M19" s="630" t="s">
        <v>1852</v>
      </c>
      <c r="N19" s="639">
        <v>42826</v>
      </c>
      <c r="O19" s="639">
        <v>46477</v>
      </c>
      <c r="P19" s="639">
        <v>42822</v>
      </c>
      <c r="Q19" s="1546"/>
    </row>
    <row r="20" spans="1:17" s="12" customFormat="1" ht="18.75" customHeight="1">
      <c r="A20" s="1541"/>
      <c r="B20" s="630" t="s">
        <v>1813</v>
      </c>
      <c r="C20" s="630" t="s">
        <v>1824</v>
      </c>
      <c r="D20" s="630" t="s">
        <v>1847</v>
      </c>
      <c r="E20" s="782">
        <v>31</v>
      </c>
      <c r="F20" s="630" t="s">
        <v>2123</v>
      </c>
      <c r="G20" s="788">
        <v>32</v>
      </c>
      <c r="H20" s="785">
        <f t="shared" si="0"/>
        <v>8000</v>
      </c>
      <c r="I20" s="785">
        <f t="shared" si="1"/>
        <v>256</v>
      </c>
      <c r="J20" s="630" t="s">
        <v>1850</v>
      </c>
      <c r="K20" s="630" t="s">
        <v>2127</v>
      </c>
      <c r="L20" s="630" t="s">
        <v>1755</v>
      </c>
      <c r="M20" s="630" t="s">
        <v>1853</v>
      </c>
      <c r="N20" s="639">
        <v>42278</v>
      </c>
      <c r="O20" s="639">
        <v>45747</v>
      </c>
      <c r="P20" s="639">
        <v>42278</v>
      </c>
      <c r="Q20" s="1546"/>
    </row>
    <row r="21" spans="1:17" s="12" customFormat="1" ht="18.75" customHeight="1">
      <c r="A21" s="1541"/>
      <c r="B21" s="630" t="s">
        <v>1813</v>
      </c>
      <c r="C21" s="630" t="s">
        <v>1825</v>
      </c>
      <c r="D21" s="630" t="s">
        <v>1847</v>
      </c>
      <c r="E21" s="782">
        <v>31</v>
      </c>
      <c r="F21" s="630" t="s">
        <v>2123</v>
      </c>
      <c r="G21" s="788">
        <v>1567</v>
      </c>
      <c r="H21" s="785">
        <f t="shared" si="0"/>
        <v>8000</v>
      </c>
      <c r="I21" s="785">
        <f t="shared" si="1"/>
        <v>12536</v>
      </c>
      <c r="J21" s="630" t="s">
        <v>1850</v>
      </c>
      <c r="K21" s="630" t="s">
        <v>2127</v>
      </c>
      <c r="L21" s="630" t="s">
        <v>1755</v>
      </c>
      <c r="M21" s="630" t="s">
        <v>1853</v>
      </c>
      <c r="N21" s="639">
        <v>42278</v>
      </c>
      <c r="O21" s="639">
        <v>45747</v>
      </c>
      <c r="P21" s="639">
        <v>42278</v>
      </c>
      <c r="Q21" s="1546"/>
    </row>
    <row r="22" spans="1:17" s="12" customFormat="1" ht="18.75" customHeight="1">
      <c r="A22" s="1541"/>
      <c r="B22" s="630" t="s">
        <v>1813</v>
      </c>
      <c r="C22" s="630" t="s">
        <v>1826</v>
      </c>
      <c r="D22" s="630" t="s">
        <v>1847</v>
      </c>
      <c r="E22" s="782">
        <v>31</v>
      </c>
      <c r="F22" s="630" t="s">
        <v>2123</v>
      </c>
      <c r="G22" s="788">
        <v>431</v>
      </c>
      <c r="H22" s="785">
        <f t="shared" si="0"/>
        <v>8000</v>
      </c>
      <c r="I22" s="785">
        <f t="shared" si="1"/>
        <v>3448</v>
      </c>
      <c r="J22" s="630" t="s">
        <v>1850</v>
      </c>
      <c r="K22" s="630" t="s">
        <v>2127</v>
      </c>
      <c r="L22" s="630" t="s">
        <v>1755</v>
      </c>
      <c r="M22" s="630" t="s">
        <v>1853</v>
      </c>
      <c r="N22" s="639">
        <v>42278</v>
      </c>
      <c r="O22" s="639">
        <v>45747</v>
      </c>
      <c r="P22" s="639">
        <v>42278</v>
      </c>
      <c r="Q22" s="1546"/>
    </row>
    <row r="23" spans="1:17" s="12" customFormat="1" ht="18.75" customHeight="1">
      <c r="A23" s="1541"/>
      <c r="B23" s="630" t="s">
        <v>1813</v>
      </c>
      <c r="C23" s="630">
        <v>125</v>
      </c>
      <c r="D23" s="630" t="s">
        <v>1847</v>
      </c>
      <c r="E23" s="782">
        <v>31</v>
      </c>
      <c r="F23" s="630" t="s">
        <v>2123</v>
      </c>
      <c r="G23" s="788">
        <v>476</v>
      </c>
      <c r="H23" s="785">
        <f t="shared" si="0"/>
        <v>8000</v>
      </c>
      <c r="I23" s="785">
        <f t="shared" si="1"/>
        <v>3808</v>
      </c>
      <c r="J23" s="630" t="s">
        <v>1851</v>
      </c>
      <c r="K23" s="630" t="s">
        <v>2126</v>
      </c>
      <c r="L23" s="630" t="s">
        <v>1849</v>
      </c>
      <c r="M23" s="630" t="s">
        <v>1853</v>
      </c>
      <c r="N23" s="639">
        <v>42278</v>
      </c>
      <c r="O23" s="639">
        <v>45747</v>
      </c>
      <c r="P23" s="639">
        <v>42278</v>
      </c>
      <c r="Q23" s="1546"/>
    </row>
    <row r="24" spans="1:17" s="12" customFormat="1" ht="18.75" customHeight="1">
      <c r="A24" s="1541"/>
      <c r="B24" s="630" t="s">
        <v>1813</v>
      </c>
      <c r="C24" s="630">
        <v>129</v>
      </c>
      <c r="D24" s="630" t="s">
        <v>1847</v>
      </c>
      <c r="E24" s="782">
        <v>31</v>
      </c>
      <c r="F24" s="630" t="s">
        <v>2123</v>
      </c>
      <c r="G24" s="788">
        <v>798</v>
      </c>
      <c r="H24" s="785">
        <f t="shared" si="0"/>
        <v>8000</v>
      </c>
      <c r="I24" s="785">
        <f t="shared" si="1"/>
        <v>6384</v>
      </c>
      <c r="J24" s="630" t="s">
        <v>1851</v>
      </c>
      <c r="K24" s="630" t="s">
        <v>2126</v>
      </c>
      <c r="L24" s="630" t="s">
        <v>1849</v>
      </c>
      <c r="M24" s="630" t="s">
        <v>1853</v>
      </c>
      <c r="N24" s="639">
        <v>42278</v>
      </c>
      <c r="O24" s="639">
        <v>45747</v>
      </c>
      <c r="P24" s="639">
        <v>42278</v>
      </c>
      <c r="Q24" s="1546"/>
    </row>
    <row r="25" spans="1:17" s="12" customFormat="1" ht="18.75" customHeight="1">
      <c r="A25" s="1541"/>
      <c r="B25" s="630" t="s">
        <v>1813</v>
      </c>
      <c r="C25" s="630">
        <v>130</v>
      </c>
      <c r="D25" s="630" t="s">
        <v>1847</v>
      </c>
      <c r="E25" s="782">
        <v>31</v>
      </c>
      <c r="F25" s="630" t="s">
        <v>2123</v>
      </c>
      <c r="G25" s="788">
        <v>975</v>
      </c>
      <c r="H25" s="785">
        <f t="shared" si="0"/>
        <v>8000</v>
      </c>
      <c r="I25" s="785">
        <f t="shared" si="1"/>
        <v>7800</v>
      </c>
      <c r="J25" s="630" t="s">
        <v>1851</v>
      </c>
      <c r="K25" s="630" t="s">
        <v>2126</v>
      </c>
      <c r="L25" s="630" t="s">
        <v>1849</v>
      </c>
      <c r="M25" s="630" t="s">
        <v>1853</v>
      </c>
      <c r="N25" s="639">
        <v>42278</v>
      </c>
      <c r="O25" s="639">
        <v>45747</v>
      </c>
      <c r="P25" s="639">
        <v>42278</v>
      </c>
      <c r="Q25" s="1546"/>
    </row>
    <row r="26" spans="1:17" s="12" customFormat="1" ht="18.75" customHeight="1">
      <c r="A26" s="1541"/>
      <c r="B26" s="630" t="s">
        <v>1813</v>
      </c>
      <c r="C26" s="630" t="s">
        <v>1827</v>
      </c>
      <c r="D26" s="630" t="s">
        <v>1847</v>
      </c>
      <c r="E26" s="782">
        <v>31</v>
      </c>
      <c r="F26" s="630" t="s">
        <v>2123</v>
      </c>
      <c r="G26" s="788">
        <v>865</v>
      </c>
      <c r="H26" s="785">
        <f t="shared" si="0"/>
        <v>8000</v>
      </c>
      <c r="I26" s="785">
        <f t="shared" si="1"/>
        <v>6920</v>
      </c>
      <c r="J26" s="630" t="s">
        <v>1851</v>
      </c>
      <c r="K26" s="630" t="s">
        <v>2126</v>
      </c>
      <c r="L26" s="630" t="s">
        <v>1849</v>
      </c>
      <c r="M26" s="630" t="s">
        <v>1853</v>
      </c>
      <c r="N26" s="639">
        <v>42278</v>
      </c>
      <c r="O26" s="639">
        <v>45747</v>
      </c>
      <c r="P26" s="639">
        <v>42278</v>
      </c>
      <c r="Q26" s="1546"/>
    </row>
    <row r="27" spans="1:17" s="12" customFormat="1" ht="18.75" customHeight="1">
      <c r="A27" s="1541"/>
      <c r="B27" s="630" t="s">
        <v>1813</v>
      </c>
      <c r="C27" s="630" t="s">
        <v>1828</v>
      </c>
      <c r="D27" s="630" t="s">
        <v>1847</v>
      </c>
      <c r="E27" s="782">
        <v>31</v>
      </c>
      <c r="F27" s="630" t="s">
        <v>2123</v>
      </c>
      <c r="G27" s="788">
        <v>598</v>
      </c>
      <c r="H27" s="785">
        <f t="shared" si="0"/>
        <v>8000</v>
      </c>
      <c r="I27" s="785">
        <f t="shared" si="1"/>
        <v>4784</v>
      </c>
      <c r="J27" s="630" t="s">
        <v>1851</v>
      </c>
      <c r="K27" s="630" t="s">
        <v>2126</v>
      </c>
      <c r="L27" s="630" t="s">
        <v>1849</v>
      </c>
      <c r="M27" s="630" t="s">
        <v>1853</v>
      </c>
      <c r="N27" s="639">
        <v>42278</v>
      </c>
      <c r="O27" s="639">
        <v>45747</v>
      </c>
      <c r="P27" s="639">
        <v>42278</v>
      </c>
      <c r="Q27" s="1546"/>
    </row>
    <row r="28" spans="1:17" s="12" customFormat="1" ht="18.75" customHeight="1">
      <c r="A28" s="1541"/>
      <c r="B28" s="630" t="s">
        <v>1813</v>
      </c>
      <c r="C28" s="630" t="s">
        <v>1829</v>
      </c>
      <c r="D28" s="630" t="s">
        <v>1847</v>
      </c>
      <c r="E28" s="782">
        <v>31</v>
      </c>
      <c r="F28" s="630" t="s">
        <v>2123</v>
      </c>
      <c r="G28" s="788">
        <v>3751</v>
      </c>
      <c r="H28" s="785">
        <f t="shared" si="0"/>
        <v>8000</v>
      </c>
      <c r="I28" s="785">
        <f t="shared" si="1"/>
        <v>30008</v>
      </c>
      <c r="J28" s="630" t="s">
        <v>1851</v>
      </c>
      <c r="K28" s="630" t="s">
        <v>2126</v>
      </c>
      <c r="L28" s="630" t="s">
        <v>1849</v>
      </c>
      <c r="M28" s="630" t="s">
        <v>1853</v>
      </c>
      <c r="N28" s="639">
        <v>42278</v>
      </c>
      <c r="O28" s="639">
        <v>45747</v>
      </c>
      <c r="P28" s="639">
        <v>42278</v>
      </c>
      <c r="Q28" s="1546"/>
    </row>
    <row r="29" spans="1:17" s="12" customFormat="1" ht="18.75" customHeight="1" thickBot="1">
      <c r="A29" s="1542"/>
      <c r="B29" s="630" t="s">
        <v>1813</v>
      </c>
      <c r="C29" s="630" t="s">
        <v>1830</v>
      </c>
      <c r="D29" s="630" t="s">
        <v>1847</v>
      </c>
      <c r="E29" s="782">
        <v>35</v>
      </c>
      <c r="F29" s="630" t="s">
        <v>2123</v>
      </c>
      <c r="G29" s="788">
        <v>2975</v>
      </c>
      <c r="H29" s="785">
        <f t="shared" si="0"/>
        <v>8000</v>
      </c>
      <c r="I29" s="785">
        <f t="shared" si="1"/>
        <v>23800</v>
      </c>
      <c r="J29" s="630" t="s">
        <v>1851</v>
      </c>
      <c r="K29" s="630" t="s">
        <v>2126</v>
      </c>
      <c r="L29" s="630" t="s">
        <v>1849</v>
      </c>
      <c r="M29" s="630" t="s">
        <v>1853</v>
      </c>
      <c r="N29" s="639">
        <v>42278</v>
      </c>
      <c r="O29" s="639">
        <v>45747</v>
      </c>
      <c r="P29" s="639">
        <v>42278</v>
      </c>
      <c r="Q29" s="1547"/>
    </row>
    <row r="30" spans="1:17" s="12" customFormat="1" ht="18.75" customHeight="1">
      <c r="A30" s="1540" t="s">
        <v>1811</v>
      </c>
      <c r="B30" s="630" t="s">
        <v>1813</v>
      </c>
      <c r="C30" s="630" t="s">
        <v>1831</v>
      </c>
      <c r="D30" s="630" t="s">
        <v>261</v>
      </c>
      <c r="E30" s="782">
        <v>35</v>
      </c>
      <c r="F30" s="630" t="s">
        <v>156</v>
      </c>
      <c r="G30" s="788">
        <v>1899</v>
      </c>
      <c r="H30" s="785">
        <f t="shared" si="0"/>
        <v>8000</v>
      </c>
      <c r="I30" s="785">
        <f t="shared" si="1"/>
        <v>15192</v>
      </c>
      <c r="J30" s="630" t="s">
        <v>1851</v>
      </c>
      <c r="K30" s="630" t="s">
        <v>2126</v>
      </c>
      <c r="L30" s="630" t="s">
        <v>1849</v>
      </c>
      <c r="M30" s="630" t="s">
        <v>1853</v>
      </c>
      <c r="N30" s="639">
        <v>42278</v>
      </c>
      <c r="O30" s="639">
        <v>45747</v>
      </c>
      <c r="P30" s="639">
        <v>42278</v>
      </c>
      <c r="Q30" s="1545" t="s">
        <v>1858</v>
      </c>
    </row>
    <row r="31" spans="1:17" s="12" customFormat="1" ht="18.75" customHeight="1">
      <c r="A31" s="1541"/>
      <c r="B31" s="630" t="s">
        <v>1813</v>
      </c>
      <c r="C31" s="630" t="s">
        <v>1832</v>
      </c>
      <c r="D31" s="630" t="s">
        <v>261</v>
      </c>
      <c r="E31" s="782">
        <v>35</v>
      </c>
      <c r="F31" s="630" t="s">
        <v>156</v>
      </c>
      <c r="G31" s="788">
        <v>988</v>
      </c>
      <c r="H31" s="785">
        <f t="shared" si="0"/>
        <v>8000</v>
      </c>
      <c r="I31" s="785">
        <f t="shared" si="1"/>
        <v>7904</v>
      </c>
      <c r="J31" s="630" t="s">
        <v>1851</v>
      </c>
      <c r="K31" s="630" t="s">
        <v>2126</v>
      </c>
      <c r="L31" s="630" t="s">
        <v>1849</v>
      </c>
      <c r="M31" s="630" t="s">
        <v>1854</v>
      </c>
      <c r="N31" s="639">
        <v>42826</v>
      </c>
      <c r="O31" s="639">
        <v>46477</v>
      </c>
      <c r="P31" s="639">
        <v>42822</v>
      </c>
      <c r="Q31" s="1546"/>
    </row>
    <row r="32" spans="1:17" s="12" customFormat="1" ht="18.75" customHeight="1">
      <c r="A32" s="1541"/>
      <c r="B32" s="630" t="s">
        <v>1813</v>
      </c>
      <c r="C32" s="630">
        <v>135</v>
      </c>
      <c r="D32" s="630" t="s">
        <v>261</v>
      </c>
      <c r="E32" s="782">
        <v>35</v>
      </c>
      <c r="F32" s="630" t="s">
        <v>156</v>
      </c>
      <c r="G32" s="788">
        <v>782</v>
      </c>
      <c r="H32" s="785">
        <f t="shared" si="0"/>
        <v>8000</v>
      </c>
      <c r="I32" s="785">
        <f t="shared" si="1"/>
        <v>6256</v>
      </c>
      <c r="J32" s="630" t="s">
        <v>1851</v>
      </c>
      <c r="K32" s="630" t="s">
        <v>2126</v>
      </c>
      <c r="L32" s="630" t="s">
        <v>1849</v>
      </c>
      <c r="M32" s="630" t="s">
        <v>1854</v>
      </c>
      <c r="N32" s="639">
        <v>44287</v>
      </c>
      <c r="O32" s="639">
        <v>47938</v>
      </c>
      <c r="P32" s="639">
        <v>44287</v>
      </c>
      <c r="Q32" s="1546"/>
    </row>
    <row r="33" spans="1:17" s="12" customFormat="1" ht="18.75" customHeight="1">
      <c r="A33" s="1541"/>
      <c r="B33" s="630" t="s">
        <v>1813</v>
      </c>
      <c r="C33" s="630">
        <v>138</v>
      </c>
      <c r="D33" s="630" t="s">
        <v>261</v>
      </c>
      <c r="E33" s="782">
        <v>35</v>
      </c>
      <c r="F33" s="630" t="s">
        <v>156</v>
      </c>
      <c r="G33" s="788">
        <v>854</v>
      </c>
      <c r="H33" s="785">
        <f t="shared" si="0"/>
        <v>8000</v>
      </c>
      <c r="I33" s="785">
        <f t="shared" si="1"/>
        <v>6832</v>
      </c>
      <c r="J33" s="630" t="s">
        <v>1851</v>
      </c>
      <c r="K33" s="630" t="s">
        <v>2126</v>
      </c>
      <c r="L33" s="630" t="s">
        <v>1849</v>
      </c>
      <c r="M33" s="630" t="s">
        <v>1854</v>
      </c>
      <c r="N33" s="639">
        <v>42826</v>
      </c>
      <c r="O33" s="639">
        <v>46477</v>
      </c>
      <c r="P33" s="639">
        <v>42822</v>
      </c>
      <c r="Q33" s="1546"/>
    </row>
    <row r="34" spans="1:17" s="12" customFormat="1" ht="18.75" customHeight="1">
      <c r="A34" s="1541"/>
      <c r="B34" s="630" t="s">
        <v>1813</v>
      </c>
      <c r="C34" s="630" t="s">
        <v>1833</v>
      </c>
      <c r="D34" s="630" t="s">
        <v>261</v>
      </c>
      <c r="E34" s="782">
        <v>35</v>
      </c>
      <c r="F34" s="630" t="s">
        <v>156</v>
      </c>
      <c r="G34" s="788">
        <v>821</v>
      </c>
      <c r="H34" s="785">
        <f t="shared" si="0"/>
        <v>8000</v>
      </c>
      <c r="I34" s="785">
        <f t="shared" si="1"/>
        <v>6568</v>
      </c>
      <c r="J34" s="630" t="s">
        <v>1851</v>
      </c>
      <c r="K34" s="630" t="s">
        <v>2126</v>
      </c>
      <c r="L34" s="630" t="s">
        <v>1849</v>
      </c>
      <c r="M34" s="630" t="s">
        <v>1854</v>
      </c>
      <c r="N34" s="639">
        <v>42826</v>
      </c>
      <c r="O34" s="639">
        <v>46477</v>
      </c>
      <c r="P34" s="639">
        <v>42822</v>
      </c>
      <c r="Q34" s="1546"/>
    </row>
    <row r="35" spans="1:17" s="12" customFormat="1" ht="18.75" customHeight="1">
      <c r="A35" s="1541"/>
      <c r="B35" s="630" t="s">
        <v>1813</v>
      </c>
      <c r="C35" s="630">
        <v>143</v>
      </c>
      <c r="D35" s="630" t="s">
        <v>261</v>
      </c>
      <c r="E35" s="782">
        <v>35</v>
      </c>
      <c r="F35" s="630" t="s">
        <v>156</v>
      </c>
      <c r="G35" s="788">
        <v>485</v>
      </c>
      <c r="H35" s="785">
        <f t="shared" si="0"/>
        <v>8000</v>
      </c>
      <c r="I35" s="785">
        <f t="shared" si="1"/>
        <v>3880</v>
      </c>
      <c r="J35" s="630" t="s">
        <v>1851</v>
      </c>
      <c r="K35" s="630" t="s">
        <v>2126</v>
      </c>
      <c r="L35" s="630" t="s">
        <v>1849</v>
      </c>
      <c r="M35" s="630" t="s">
        <v>1854</v>
      </c>
      <c r="N35" s="639">
        <v>42826</v>
      </c>
      <c r="O35" s="639">
        <v>46477</v>
      </c>
      <c r="P35" s="639">
        <v>42822</v>
      </c>
      <c r="Q35" s="1546"/>
    </row>
    <row r="36" spans="1:17" s="12" customFormat="1" ht="18.75" customHeight="1">
      <c r="A36" s="1541"/>
      <c r="B36" s="630" t="s">
        <v>1813</v>
      </c>
      <c r="C36" s="630">
        <v>144</v>
      </c>
      <c r="D36" s="630" t="s">
        <v>261</v>
      </c>
      <c r="E36" s="782">
        <v>24</v>
      </c>
      <c r="F36" s="630" t="s">
        <v>156</v>
      </c>
      <c r="G36" s="788">
        <v>645</v>
      </c>
      <c r="H36" s="785">
        <f t="shared" si="0"/>
        <v>8000</v>
      </c>
      <c r="I36" s="785">
        <f t="shared" si="1"/>
        <v>5160</v>
      </c>
      <c r="J36" s="630" t="s">
        <v>1851</v>
      </c>
      <c r="K36" s="630" t="s">
        <v>2126</v>
      </c>
      <c r="L36" s="630" t="s">
        <v>1849</v>
      </c>
      <c r="M36" s="630" t="s">
        <v>1854</v>
      </c>
      <c r="N36" s="639">
        <v>42826</v>
      </c>
      <c r="O36" s="639">
        <v>46477</v>
      </c>
      <c r="P36" s="639">
        <v>42822</v>
      </c>
      <c r="Q36" s="1546"/>
    </row>
    <row r="37" spans="1:17" s="12" customFormat="1" ht="18.75" customHeight="1">
      <c r="A37" s="1541"/>
      <c r="B37" s="630" t="s">
        <v>1813</v>
      </c>
      <c r="C37" s="630" t="s">
        <v>1834</v>
      </c>
      <c r="D37" s="630" t="s">
        <v>261</v>
      </c>
      <c r="E37" s="782">
        <v>24</v>
      </c>
      <c r="F37" s="630" t="s">
        <v>156</v>
      </c>
      <c r="G37" s="788">
        <v>912</v>
      </c>
      <c r="H37" s="785">
        <f t="shared" si="0"/>
        <v>8000</v>
      </c>
      <c r="I37" s="785">
        <f t="shared" si="1"/>
        <v>7296</v>
      </c>
      <c r="J37" s="630" t="s">
        <v>1851</v>
      </c>
      <c r="K37" s="630" t="s">
        <v>2126</v>
      </c>
      <c r="L37" s="630" t="s">
        <v>1849</v>
      </c>
      <c r="M37" s="630" t="s">
        <v>1854</v>
      </c>
      <c r="N37" s="639">
        <v>42826</v>
      </c>
      <c r="O37" s="639">
        <v>46477</v>
      </c>
      <c r="P37" s="639">
        <v>42822</v>
      </c>
      <c r="Q37" s="1546"/>
    </row>
    <row r="38" spans="1:17" s="12" customFormat="1" ht="18.75" customHeight="1">
      <c r="A38" s="1541"/>
      <c r="B38" s="630" t="s">
        <v>1813</v>
      </c>
      <c r="C38" s="630" t="s">
        <v>1835</v>
      </c>
      <c r="D38" s="630" t="s">
        <v>261</v>
      </c>
      <c r="E38" s="782">
        <v>24</v>
      </c>
      <c r="F38" s="630" t="s">
        <v>156</v>
      </c>
      <c r="G38" s="788">
        <v>294</v>
      </c>
      <c r="H38" s="785">
        <f t="shared" si="0"/>
        <v>8000</v>
      </c>
      <c r="I38" s="785">
        <f t="shared" si="1"/>
        <v>2352</v>
      </c>
      <c r="J38" s="630" t="s">
        <v>1851</v>
      </c>
      <c r="K38" s="630" t="s">
        <v>2126</v>
      </c>
      <c r="L38" s="630" t="s">
        <v>1849</v>
      </c>
      <c r="M38" s="630" t="s">
        <v>1854</v>
      </c>
      <c r="N38" s="639">
        <v>42826</v>
      </c>
      <c r="O38" s="639">
        <v>46477</v>
      </c>
      <c r="P38" s="639">
        <v>42822</v>
      </c>
      <c r="Q38" s="1546"/>
    </row>
    <row r="39" spans="1:17" s="12" customFormat="1" ht="18.75" customHeight="1">
      <c r="A39" s="1541"/>
      <c r="B39" s="630" t="s">
        <v>1813</v>
      </c>
      <c r="C39" s="630" t="s">
        <v>1836</v>
      </c>
      <c r="D39" s="630" t="s">
        <v>261</v>
      </c>
      <c r="E39" s="782">
        <v>24</v>
      </c>
      <c r="F39" s="630" t="s">
        <v>156</v>
      </c>
      <c r="G39" s="788">
        <v>211</v>
      </c>
      <c r="H39" s="785">
        <f t="shared" si="0"/>
        <v>8000</v>
      </c>
      <c r="I39" s="785">
        <f t="shared" si="1"/>
        <v>1688</v>
      </c>
      <c r="J39" s="630" t="s">
        <v>1851</v>
      </c>
      <c r="K39" s="630" t="s">
        <v>2126</v>
      </c>
      <c r="L39" s="630" t="s">
        <v>1849</v>
      </c>
      <c r="M39" s="630" t="s">
        <v>1854</v>
      </c>
      <c r="N39" s="639">
        <v>42826</v>
      </c>
      <c r="O39" s="639">
        <v>46477</v>
      </c>
      <c r="P39" s="639">
        <v>42822</v>
      </c>
      <c r="Q39" s="1546"/>
    </row>
    <row r="40" spans="1:17" s="12" customFormat="1" ht="18.75" customHeight="1">
      <c r="A40" s="1541"/>
      <c r="B40" s="630" t="s">
        <v>1813</v>
      </c>
      <c r="C40" s="630" t="s">
        <v>1837</v>
      </c>
      <c r="D40" s="630" t="s">
        <v>261</v>
      </c>
      <c r="E40" s="782">
        <v>24</v>
      </c>
      <c r="F40" s="630" t="s">
        <v>156</v>
      </c>
      <c r="G40" s="788">
        <v>2010</v>
      </c>
      <c r="H40" s="785">
        <f t="shared" si="0"/>
        <v>8000</v>
      </c>
      <c r="I40" s="785">
        <f t="shared" si="1"/>
        <v>16080</v>
      </c>
      <c r="J40" s="630" t="s">
        <v>1851</v>
      </c>
      <c r="K40" s="630" t="s">
        <v>2126</v>
      </c>
      <c r="L40" s="630" t="s">
        <v>1849</v>
      </c>
      <c r="M40" s="630" t="s">
        <v>1854</v>
      </c>
      <c r="N40" s="639">
        <v>42461</v>
      </c>
      <c r="O40" s="639">
        <v>46112</v>
      </c>
      <c r="P40" s="639">
        <v>42461</v>
      </c>
      <c r="Q40" s="1546"/>
    </row>
    <row r="41" spans="1:17" s="12" customFormat="1" ht="18.75" customHeight="1">
      <c r="A41" s="1541"/>
      <c r="B41" s="630" t="s">
        <v>1813</v>
      </c>
      <c r="C41" s="630" t="s">
        <v>1838</v>
      </c>
      <c r="D41" s="630" t="s">
        <v>261</v>
      </c>
      <c r="E41" s="782">
        <v>24</v>
      </c>
      <c r="F41" s="630" t="s">
        <v>156</v>
      </c>
      <c r="G41" s="788">
        <v>3120</v>
      </c>
      <c r="H41" s="785">
        <f t="shared" si="0"/>
        <v>8000</v>
      </c>
      <c r="I41" s="785">
        <f t="shared" si="1"/>
        <v>24960</v>
      </c>
      <c r="J41" s="630" t="s">
        <v>1851</v>
      </c>
      <c r="K41" s="630" t="s">
        <v>2126</v>
      </c>
      <c r="L41" s="630" t="s">
        <v>1849</v>
      </c>
      <c r="M41" s="630" t="s">
        <v>1854</v>
      </c>
      <c r="N41" s="639">
        <v>42461</v>
      </c>
      <c r="O41" s="639">
        <v>46112</v>
      </c>
      <c r="P41" s="639">
        <v>42461</v>
      </c>
      <c r="Q41" s="1546"/>
    </row>
    <row r="42" spans="1:17" s="12" customFormat="1" ht="18.75" customHeight="1">
      <c r="A42" s="1541"/>
      <c r="B42" s="630" t="s">
        <v>1813</v>
      </c>
      <c r="C42" s="630">
        <v>149</v>
      </c>
      <c r="D42" s="630" t="s">
        <v>261</v>
      </c>
      <c r="E42" s="782">
        <v>24</v>
      </c>
      <c r="F42" s="630" t="s">
        <v>156</v>
      </c>
      <c r="G42" s="788">
        <v>598</v>
      </c>
      <c r="H42" s="785">
        <f t="shared" si="0"/>
        <v>8000</v>
      </c>
      <c r="I42" s="785">
        <f t="shared" si="1"/>
        <v>4784</v>
      </c>
      <c r="J42" s="630" t="s">
        <v>1851</v>
      </c>
      <c r="K42" s="630" t="s">
        <v>2126</v>
      </c>
      <c r="L42" s="630" t="s">
        <v>1849</v>
      </c>
      <c r="M42" s="630" t="s">
        <v>1855</v>
      </c>
      <c r="N42" s="639">
        <v>42826</v>
      </c>
      <c r="O42" s="639">
        <v>46477</v>
      </c>
      <c r="P42" s="639">
        <v>42822</v>
      </c>
      <c r="Q42" s="1546"/>
    </row>
    <row r="43" spans="1:17" s="12" customFormat="1" ht="18.75" customHeight="1">
      <c r="A43" s="1541"/>
      <c r="B43" s="630" t="s">
        <v>1813</v>
      </c>
      <c r="C43" s="630">
        <v>150</v>
      </c>
      <c r="D43" s="630" t="s">
        <v>261</v>
      </c>
      <c r="E43" s="782">
        <v>24</v>
      </c>
      <c r="F43" s="630" t="s">
        <v>156</v>
      </c>
      <c r="G43" s="788">
        <v>2187</v>
      </c>
      <c r="H43" s="785">
        <f t="shared" si="0"/>
        <v>8000</v>
      </c>
      <c r="I43" s="785">
        <f t="shared" si="1"/>
        <v>17496</v>
      </c>
      <c r="J43" s="630" t="s">
        <v>1851</v>
      </c>
      <c r="K43" s="630" t="s">
        <v>2126</v>
      </c>
      <c r="L43" s="630" t="s">
        <v>1849</v>
      </c>
      <c r="M43" s="630" t="s">
        <v>1855</v>
      </c>
      <c r="N43" s="639">
        <v>42826</v>
      </c>
      <c r="O43" s="639">
        <v>46477</v>
      </c>
      <c r="P43" s="639">
        <v>42822</v>
      </c>
      <c r="Q43" s="1546"/>
    </row>
    <row r="44" spans="1:17" s="12" customFormat="1" ht="18.75" customHeight="1">
      <c r="A44" s="1541"/>
      <c r="B44" s="630" t="s">
        <v>1813</v>
      </c>
      <c r="C44" s="630">
        <v>151</v>
      </c>
      <c r="D44" s="630" t="s">
        <v>261</v>
      </c>
      <c r="E44" s="782">
        <v>24</v>
      </c>
      <c r="F44" s="630" t="s">
        <v>156</v>
      </c>
      <c r="G44" s="788">
        <v>27</v>
      </c>
      <c r="H44" s="785">
        <f t="shared" si="0"/>
        <v>8000</v>
      </c>
      <c r="I44" s="785">
        <f t="shared" si="1"/>
        <v>216</v>
      </c>
      <c r="J44" s="630" t="s">
        <v>1851</v>
      </c>
      <c r="K44" s="630" t="s">
        <v>2126</v>
      </c>
      <c r="L44" s="630" t="s">
        <v>1849</v>
      </c>
      <c r="M44" s="630" t="s">
        <v>1855</v>
      </c>
      <c r="N44" s="639">
        <v>42826</v>
      </c>
      <c r="O44" s="639">
        <v>46477</v>
      </c>
      <c r="P44" s="639">
        <v>42822</v>
      </c>
      <c r="Q44" s="1546"/>
    </row>
    <row r="45" spans="1:17" s="12" customFormat="1" ht="18.75" customHeight="1">
      <c r="A45" s="1541"/>
      <c r="B45" s="630" t="s">
        <v>1813</v>
      </c>
      <c r="C45" s="630">
        <v>152</v>
      </c>
      <c r="D45" s="630" t="s">
        <v>261</v>
      </c>
      <c r="E45" s="782">
        <v>24</v>
      </c>
      <c r="F45" s="630" t="s">
        <v>156</v>
      </c>
      <c r="G45" s="788">
        <v>712</v>
      </c>
      <c r="H45" s="785">
        <f t="shared" si="0"/>
        <v>8000</v>
      </c>
      <c r="I45" s="785">
        <f t="shared" si="1"/>
        <v>5696</v>
      </c>
      <c r="J45" s="630" t="s">
        <v>1851</v>
      </c>
      <c r="K45" s="630" t="s">
        <v>2126</v>
      </c>
      <c r="L45" s="630" t="s">
        <v>1849</v>
      </c>
      <c r="M45" s="630" t="s">
        <v>1855</v>
      </c>
      <c r="N45" s="639">
        <v>42826</v>
      </c>
      <c r="O45" s="639">
        <v>46477</v>
      </c>
      <c r="P45" s="639">
        <v>42822</v>
      </c>
      <c r="Q45" s="1546"/>
    </row>
    <row r="46" spans="1:17" s="12" customFormat="1" ht="18.75" customHeight="1">
      <c r="A46" s="1541"/>
      <c r="B46" s="630" t="s">
        <v>1813</v>
      </c>
      <c r="C46" s="630">
        <v>153</v>
      </c>
      <c r="D46" s="630" t="s">
        <v>261</v>
      </c>
      <c r="E46" s="782">
        <v>17</v>
      </c>
      <c r="F46" s="630" t="s">
        <v>2124</v>
      </c>
      <c r="G46" s="788">
        <v>1222</v>
      </c>
      <c r="H46" s="785">
        <f t="shared" si="0"/>
        <v>21000</v>
      </c>
      <c r="I46" s="785">
        <f t="shared" si="1"/>
        <v>25662</v>
      </c>
      <c r="J46" s="630" t="s">
        <v>1851</v>
      </c>
      <c r="K46" s="630" t="s">
        <v>2126</v>
      </c>
      <c r="L46" s="630" t="s">
        <v>1849</v>
      </c>
      <c r="M46" s="630" t="s">
        <v>1855</v>
      </c>
      <c r="N46" s="639">
        <v>42826</v>
      </c>
      <c r="O46" s="639">
        <v>46477</v>
      </c>
      <c r="P46" s="639">
        <v>42822</v>
      </c>
      <c r="Q46" s="1546"/>
    </row>
    <row r="47" spans="1:17" s="12" customFormat="1" ht="18.75" customHeight="1">
      <c r="A47" s="1541"/>
      <c r="B47" s="630" t="s">
        <v>1813</v>
      </c>
      <c r="C47" s="630">
        <v>154</v>
      </c>
      <c r="D47" s="630" t="s">
        <v>261</v>
      </c>
      <c r="E47" s="782">
        <v>17</v>
      </c>
      <c r="F47" s="630" t="s">
        <v>2124</v>
      </c>
      <c r="G47" s="788">
        <v>286</v>
      </c>
      <c r="H47" s="785">
        <f t="shared" si="0"/>
        <v>21000</v>
      </c>
      <c r="I47" s="785">
        <f t="shared" si="1"/>
        <v>6006</v>
      </c>
      <c r="J47" s="630" t="s">
        <v>1851</v>
      </c>
      <c r="K47" s="630" t="s">
        <v>2126</v>
      </c>
      <c r="L47" s="630" t="s">
        <v>1849</v>
      </c>
      <c r="M47" s="630" t="s">
        <v>1855</v>
      </c>
      <c r="N47" s="639">
        <v>42826</v>
      </c>
      <c r="O47" s="639">
        <v>46477</v>
      </c>
      <c r="P47" s="639">
        <v>42822</v>
      </c>
      <c r="Q47" s="1546"/>
    </row>
    <row r="48" spans="1:17" s="12" customFormat="1" ht="18.75" customHeight="1">
      <c r="A48" s="1541"/>
      <c r="B48" s="630" t="s">
        <v>1813</v>
      </c>
      <c r="C48" s="630">
        <v>155</v>
      </c>
      <c r="D48" s="630" t="s">
        <v>261</v>
      </c>
      <c r="E48" s="782">
        <v>17</v>
      </c>
      <c r="F48" s="630" t="s">
        <v>2124</v>
      </c>
      <c r="G48" s="788">
        <v>483</v>
      </c>
      <c r="H48" s="785">
        <f t="shared" si="0"/>
        <v>21000</v>
      </c>
      <c r="I48" s="785">
        <f t="shared" si="1"/>
        <v>10143</v>
      </c>
      <c r="J48" s="630" t="s">
        <v>1851</v>
      </c>
      <c r="K48" s="630" t="s">
        <v>2126</v>
      </c>
      <c r="L48" s="630" t="s">
        <v>1849</v>
      </c>
      <c r="M48" s="630" t="s">
        <v>1855</v>
      </c>
      <c r="N48" s="639">
        <v>42826</v>
      </c>
      <c r="O48" s="639">
        <v>46477</v>
      </c>
      <c r="P48" s="639">
        <v>42822</v>
      </c>
      <c r="Q48" s="1546"/>
    </row>
    <row r="49" spans="1:17" s="12" customFormat="1" ht="18.75" customHeight="1">
      <c r="A49" s="1541"/>
      <c r="B49" s="630" t="s">
        <v>1813</v>
      </c>
      <c r="C49" s="630">
        <v>158</v>
      </c>
      <c r="D49" s="630" t="s">
        <v>261</v>
      </c>
      <c r="E49" s="782">
        <v>17</v>
      </c>
      <c r="F49" s="630" t="s">
        <v>2124</v>
      </c>
      <c r="G49" s="788">
        <v>252</v>
      </c>
      <c r="H49" s="785">
        <f t="shared" si="0"/>
        <v>21000</v>
      </c>
      <c r="I49" s="785">
        <f t="shared" si="1"/>
        <v>5292</v>
      </c>
      <c r="J49" s="630" t="s">
        <v>1851</v>
      </c>
      <c r="K49" s="630" t="s">
        <v>2126</v>
      </c>
      <c r="L49" s="630" t="s">
        <v>1849</v>
      </c>
      <c r="M49" s="630" t="s">
        <v>1855</v>
      </c>
      <c r="N49" s="639">
        <v>42826</v>
      </c>
      <c r="O49" s="639">
        <v>46477</v>
      </c>
      <c r="P49" s="639">
        <v>42822</v>
      </c>
      <c r="Q49" s="1546"/>
    </row>
    <row r="50" spans="1:17" s="12" customFormat="1" ht="18.75" customHeight="1">
      <c r="A50" s="1541"/>
      <c r="B50" s="630" t="s">
        <v>1813</v>
      </c>
      <c r="C50" s="630">
        <v>159</v>
      </c>
      <c r="D50" s="630" t="s">
        <v>261</v>
      </c>
      <c r="E50" s="782">
        <v>17</v>
      </c>
      <c r="F50" s="630" t="s">
        <v>2124</v>
      </c>
      <c r="G50" s="788">
        <v>280</v>
      </c>
      <c r="H50" s="785">
        <f t="shared" si="0"/>
        <v>21000</v>
      </c>
      <c r="I50" s="785">
        <f t="shared" si="1"/>
        <v>5880</v>
      </c>
      <c r="J50" s="630" t="s">
        <v>1851</v>
      </c>
      <c r="K50" s="630" t="s">
        <v>2126</v>
      </c>
      <c r="L50" s="630" t="s">
        <v>1849</v>
      </c>
      <c r="M50" s="630" t="s">
        <v>1855</v>
      </c>
      <c r="N50" s="639">
        <v>42826</v>
      </c>
      <c r="O50" s="639">
        <v>46477</v>
      </c>
      <c r="P50" s="639">
        <v>42822</v>
      </c>
      <c r="Q50" s="1546"/>
    </row>
    <row r="51" spans="1:17" s="12" customFormat="1" ht="18.75" customHeight="1">
      <c r="A51" s="1541"/>
      <c r="B51" s="630" t="s">
        <v>1813</v>
      </c>
      <c r="C51" s="630" t="s">
        <v>1839</v>
      </c>
      <c r="D51" s="630" t="s">
        <v>261</v>
      </c>
      <c r="E51" s="782">
        <v>17</v>
      </c>
      <c r="F51" s="630" t="s">
        <v>2124</v>
      </c>
      <c r="G51" s="788">
        <v>385</v>
      </c>
      <c r="H51" s="785">
        <f t="shared" si="0"/>
        <v>21000</v>
      </c>
      <c r="I51" s="785">
        <f t="shared" si="1"/>
        <v>8085</v>
      </c>
      <c r="J51" s="630" t="s">
        <v>1851</v>
      </c>
      <c r="K51" s="630" t="s">
        <v>2126</v>
      </c>
      <c r="L51" s="630" t="s">
        <v>1849</v>
      </c>
      <c r="M51" s="630" t="s">
        <v>1855</v>
      </c>
      <c r="N51" s="639">
        <v>42826</v>
      </c>
      <c r="O51" s="639">
        <v>46477</v>
      </c>
      <c r="P51" s="639">
        <v>42822</v>
      </c>
      <c r="Q51" s="1546"/>
    </row>
    <row r="52" spans="1:17" s="12" customFormat="1" ht="18.75" customHeight="1">
      <c r="A52" s="1541"/>
      <c r="B52" s="630" t="s">
        <v>1813</v>
      </c>
      <c r="C52" s="630" t="s">
        <v>1840</v>
      </c>
      <c r="D52" s="630" t="s">
        <v>261</v>
      </c>
      <c r="E52" s="782">
        <v>17</v>
      </c>
      <c r="F52" s="630" t="s">
        <v>2124</v>
      </c>
      <c r="G52" s="788">
        <v>942</v>
      </c>
      <c r="H52" s="785">
        <f t="shared" si="0"/>
        <v>21000</v>
      </c>
      <c r="I52" s="785">
        <f t="shared" si="1"/>
        <v>19782</v>
      </c>
      <c r="J52" s="630" t="s">
        <v>1851</v>
      </c>
      <c r="K52" s="630" t="s">
        <v>2126</v>
      </c>
      <c r="L52" s="630" t="s">
        <v>1849</v>
      </c>
      <c r="M52" s="630" t="s">
        <v>1855</v>
      </c>
      <c r="N52" s="639">
        <v>42826</v>
      </c>
      <c r="O52" s="639">
        <v>46477</v>
      </c>
      <c r="P52" s="639">
        <v>42822</v>
      </c>
      <c r="Q52" s="1546"/>
    </row>
    <row r="53" spans="1:17" s="12" customFormat="1" ht="18.75" customHeight="1">
      <c r="A53" s="1542"/>
      <c r="B53" s="630" t="s">
        <v>1813</v>
      </c>
      <c r="C53" s="630">
        <v>161</v>
      </c>
      <c r="D53" s="630" t="s">
        <v>261</v>
      </c>
      <c r="E53" s="782">
        <v>99</v>
      </c>
      <c r="F53" s="630" t="s">
        <v>156</v>
      </c>
      <c r="G53" s="788">
        <v>188</v>
      </c>
      <c r="H53" s="785">
        <f t="shared" si="0"/>
        <v>8000</v>
      </c>
      <c r="I53" s="785">
        <f t="shared" si="1"/>
        <v>1504</v>
      </c>
      <c r="J53" s="630" t="s">
        <v>1851</v>
      </c>
      <c r="K53" s="630" t="s">
        <v>2126</v>
      </c>
      <c r="L53" s="630" t="s">
        <v>1849</v>
      </c>
      <c r="M53" s="630" t="s">
        <v>1857</v>
      </c>
      <c r="N53" s="639">
        <v>42826</v>
      </c>
      <c r="O53" s="639">
        <v>46477</v>
      </c>
      <c r="P53" s="639">
        <v>42822</v>
      </c>
      <c r="Q53" s="1547"/>
    </row>
    <row r="54" spans="1:17" s="12" customFormat="1" ht="18.75" customHeight="1">
      <c r="A54" s="1543" t="s">
        <v>1812</v>
      </c>
      <c r="B54" s="630" t="s">
        <v>1813</v>
      </c>
      <c r="C54" s="630" t="s">
        <v>1841</v>
      </c>
      <c r="D54" s="630" t="s">
        <v>1847</v>
      </c>
      <c r="E54" s="782">
        <v>99</v>
      </c>
      <c r="F54" s="630" t="s">
        <v>2123</v>
      </c>
      <c r="G54" s="788">
        <v>3151</v>
      </c>
      <c r="H54" s="785">
        <f t="shared" si="0"/>
        <v>8000</v>
      </c>
      <c r="I54" s="785">
        <f t="shared" si="1"/>
        <v>25208</v>
      </c>
      <c r="J54" s="630" t="s">
        <v>1851</v>
      </c>
      <c r="K54" s="630" t="s">
        <v>2126</v>
      </c>
      <c r="L54" s="630" t="s">
        <v>1849</v>
      </c>
      <c r="M54" s="630" t="s">
        <v>1856</v>
      </c>
      <c r="N54" s="639">
        <v>42826</v>
      </c>
      <c r="O54" s="639">
        <v>46477</v>
      </c>
      <c r="P54" s="639">
        <v>42822</v>
      </c>
      <c r="Q54" s="1548" t="s">
        <v>1859</v>
      </c>
    </row>
    <row r="55" spans="1:17" s="12" customFormat="1" ht="18.75" customHeight="1">
      <c r="A55" s="1541"/>
      <c r="B55" s="630" t="s">
        <v>1813</v>
      </c>
      <c r="C55" s="630" t="s">
        <v>1842</v>
      </c>
      <c r="D55" s="630" t="s">
        <v>1847</v>
      </c>
      <c r="E55" s="782">
        <v>99</v>
      </c>
      <c r="F55" s="630" t="s">
        <v>2123</v>
      </c>
      <c r="G55" s="788">
        <v>2700</v>
      </c>
      <c r="H55" s="785">
        <f t="shared" si="0"/>
        <v>8000</v>
      </c>
      <c r="I55" s="785">
        <f t="shared" si="1"/>
        <v>21600</v>
      </c>
      <c r="J55" s="630" t="s">
        <v>1851</v>
      </c>
      <c r="K55" s="630" t="s">
        <v>2126</v>
      </c>
      <c r="L55" s="630" t="s">
        <v>1849</v>
      </c>
      <c r="M55" s="630" t="s">
        <v>1856</v>
      </c>
      <c r="N55" s="639">
        <v>42826</v>
      </c>
      <c r="O55" s="639">
        <v>46477</v>
      </c>
      <c r="P55" s="639">
        <v>42822</v>
      </c>
      <c r="Q55" s="1546"/>
    </row>
    <row r="56" spans="1:17" s="12" customFormat="1" ht="18.75" customHeight="1">
      <c r="A56" s="1541"/>
      <c r="B56" s="630" t="s">
        <v>1813</v>
      </c>
      <c r="C56" s="630" t="s">
        <v>1843</v>
      </c>
      <c r="D56" s="630" t="s">
        <v>1847</v>
      </c>
      <c r="E56" s="782">
        <v>99</v>
      </c>
      <c r="F56" s="630" t="s">
        <v>2123</v>
      </c>
      <c r="G56" s="788">
        <v>1943</v>
      </c>
      <c r="H56" s="785">
        <f t="shared" si="0"/>
        <v>8000</v>
      </c>
      <c r="I56" s="785">
        <f t="shared" si="1"/>
        <v>15544</v>
      </c>
      <c r="J56" s="630" t="s">
        <v>1851</v>
      </c>
      <c r="K56" s="630" t="s">
        <v>2126</v>
      </c>
      <c r="L56" s="630" t="s">
        <v>1849</v>
      </c>
      <c r="M56" s="630" t="s">
        <v>1856</v>
      </c>
      <c r="N56" s="639">
        <v>42826</v>
      </c>
      <c r="O56" s="639">
        <v>46477</v>
      </c>
      <c r="P56" s="639">
        <v>42822</v>
      </c>
      <c r="Q56" s="1546"/>
    </row>
    <row r="57" spans="1:17" s="12" customFormat="1" ht="18.75" customHeight="1">
      <c r="A57" s="1541"/>
      <c r="B57" s="630" t="s">
        <v>1813</v>
      </c>
      <c r="C57" s="630">
        <v>164</v>
      </c>
      <c r="D57" s="630" t="s">
        <v>1847</v>
      </c>
      <c r="E57" s="782">
        <v>99</v>
      </c>
      <c r="F57" s="630" t="s">
        <v>2123</v>
      </c>
      <c r="G57" s="788">
        <v>1385</v>
      </c>
      <c r="H57" s="785">
        <f t="shared" si="0"/>
        <v>8000</v>
      </c>
      <c r="I57" s="785">
        <f t="shared" si="1"/>
        <v>11080</v>
      </c>
      <c r="J57" s="630" t="s">
        <v>1851</v>
      </c>
      <c r="K57" s="630" t="s">
        <v>2126</v>
      </c>
      <c r="L57" s="630" t="s">
        <v>1849</v>
      </c>
      <c r="M57" s="630" t="s">
        <v>1856</v>
      </c>
      <c r="N57" s="639">
        <v>42826</v>
      </c>
      <c r="O57" s="639">
        <v>46477</v>
      </c>
      <c r="P57" s="639">
        <v>42822</v>
      </c>
      <c r="Q57" s="1546"/>
    </row>
    <row r="58" spans="1:17" s="12" customFormat="1" ht="18.75" customHeight="1">
      <c r="A58" s="1541"/>
      <c r="B58" s="630" t="s">
        <v>1813</v>
      </c>
      <c r="C58" s="630" t="s">
        <v>1844</v>
      </c>
      <c r="D58" s="630" t="s">
        <v>1847</v>
      </c>
      <c r="E58" s="782">
        <v>99</v>
      </c>
      <c r="F58" s="630" t="s">
        <v>2123</v>
      </c>
      <c r="G58" s="788">
        <v>2751</v>
      </c>
      <c r="H58" s="785">
        <f t="shared" si="0"/>
        <v>8000</v>
      </c>
      <c r="I58" s="785">
        <f t="shared" si="1"/>
        <v>22008</v>
      </c>
      <c r="J58" s="630" t="s">
        <v>1851</v>
      </c>
      <c r="K58" s="630" t="s">
        <v>2126</v>
      </c>
      <c r="L58" s="630" t="s">
        <v>1849</v>
      </c>
      <c r="M58" s="630" t="s">
        <v>1856</v>
      </c>
      <c r="N58" s="639">
        <v>42826</v>
      </c>
      <c r="O58" s="639">
        <v>46477</v>
      </c>
      <c r="P58" s="639">
        <v>42822</v>
      </c>
      <c r="Q58" s="1546"/>
    </row>
    <row r="59" spans="1:17" s="12" customFormat="1" ht="18.75" customHeight="1">
      <c r="A59" s="1541"/>
      <c r="B59" s="630" t="s">
        <v>1813</v>
      </c>
      <c r="C59" s="630" t="s">
        <v>1845</v>
      </c>
      <c r="D59" s="630" t="s">
        <v>1847</v>
      </c>
      <c r="E59" s="782">
        <v>99</v>
      </c>
      <c r="F59" s="630" t="s">
        <v>2123</v>
      </c>
      <c r="G59" s="788">
        <v>3487</v>
      </c>
      <c r="H59" s="785">
        <f t="shared" si="0"/>
        <v>8000</v>
      </c>
      <c r="I59" s="785">
        <f t="shared" si="1"/>
        <v>27896</v>
      </c>
      <c r="J59" s="630" t="s">
        <v>1851</v>
      </c>
      <c r="K59" s="630" t="s">
        <v>2126</v>
      </c>
      <c r="L59" s="630" t="s">
        <v>1849</v>
      </c>
      <c r="M59" s="630" t="s">
        <v>1856</v>
      </c>
      <c r="N59" s="639">
        <v>42826</v>
      </c>
      <c r="O59" s="639">
        <v>46477</v>
      </c>
      <c r="P59" s="639">
        <v>42822</v>
      </c>
      <c r="Q59" s="1546"/>
    </row>
    <row r="60" spans="1:17" s="12" customFormat="1" ht="18.75" customHeight="1">
      <c r="A60" s="1541"/>
      <c r="B60" s="630" t="s">
        <v>1813</v>
      </c>
      <c r="C60" s="630" t="s">
        <v>1846</v>
      </c>
      <c r="D60" s="630" t="s">
        <v>1847</v>
      </c>
      <c r="E60" s="782">
        <v>99</v>
      </c>
      <c r="F60" s="630" t="s">
        <v>2123</v>
      </c>
      <c r="G60" s="788">
        <v>1254</v>
      </c>
      <c r="H60" s="785">
        <f t="shared" si="0"/>
        <v>8000</v>
      </c>
      <c r="I60" s="785">
        <f t="shared" si="1"/>
        <v>10032</v>
      </c>
      <c r="J60" s="630" t="s">
        <v>1851</v>
      </c>
      <c r="K60" s="630" t="s">
        <v>2126</v>
      </c>
      <c r="L60" s="630" t="s">
        <v>1849</v>
      </c>
      <c r="M60" s="630" t="s">
        <v>1856</v>
      </c>
      <c r="N60" s="639">
        <v>42826</v>
      </c>
      <c r="O60" s="639">
        <v>46477</v>
      </c>
      <c r="P60" s="639">
        <v>42822</v>
      </c>
      <c r="Q60" s="1546"/>
    </row>
    <row r="61" spans="1:17" s="12" customFormat="1" ht="18.75" customHeight="1" thickBot="1">
      <c r="A61" s="1544"/>
      <c r="B61" s="637"/>
      <c r="C61" s="637"/>
      <c r="D61" s="637"/>
      <c r="E61" s="783"/>
      <c r="F61" s="637"/>
      <c r="G61" s="789">
        <f>SUM(G6:G60)</f>
        <v>61370</v>
      </c>
      <c r="H61" s="637"/>
      <c r="I61" s="791">
        <f>SUM(I6:I60)</f>
        <v>583351</v>
      </c>
      <c r="J61" s="637"/>
      <c r="K61" s="637"/>
      <c r="L61" s="637"/>
      <c r="M61" s="637"/>
      <c r="N61" s="640"/>
      <c r="O61" s="640"/>
      <c r="P61" s="640"/>
      <c r="Q61" s="1549"/>
    </row>
    <row r="62" spans="1:17" s="12" customFormat="1" ht="15.6" customHeight="1">
      <c r="A62" s="62"/>
      <c r="B62" s="62"/>
      <c r="C62" s="62"/>
      <c r="D62" s="62"/>
      <c r="E62" s="62"/>
      <c r="F62" s="62"/>
      <c r="G62" s="62"/>
      <c r="H62" s="62"/>
      <c r="I62" s="62"/>
      <c r="J62" s="62"/>
      <c r="K62" s="62"/>
      <c r="L62" s="62"/>
      <c r="M62" s="62"/>
      <c r="N62" s="62"/>
      <c r="O62" s="62"/>
      <c r="P62" s="62"/>
      <c r="Q62" s="69"/>
    </row>
    <row r="63" spans="1:17" s="12" customFormat="1" ht="15.6" customHeight="1">
      <c r="A63" s="62"/>
      <c r="B63" s="62"/>
      <c r="C63" s="62"/>
      <c r="D63" s="62"/>
      <c r="E63" s="62"/>
      <c r="F63" s="62"/>
      <c r="G63" s="790">
        <f>SUMIF(H6:H60,"&lt;10000",G6:G60)</f>
        <v>54263</v>
      </c>
      <c r="H63" s="790"/>
      <c r="I63" s="790">
        <f>SUMIF(H6:H60,"&lt;10000",I6:I60)</f>
        <v>434104</v>
      </c>
      <c r="J63" s="62"/>
      <c r="K63" s="62"/>
      <c r="L63" s="62"/>
      <c r="M63" s="62"/>
      <c r="N63" s="62"/>
      <c r="O63" s="62"/>
      <c r="P63" s="62"/>
      <c r="Q63" s="69"/>
    </row>
    <row r="64" spans="1:17" s="12" customFormat="1" ht="15.6" customHeight="1">
      <c r="A64" s="62"/>
      <c r="B64" s="62"/>
      <c r="C64" s="62"/>
      <c r="D64" s="62"/>
      <c r="E64" s="62"/>
      <c r="F64" s="62"/>
      <c r="G64" s="790">
        <f>SUMIF(H6:H60,"&gt;10000",G6:G60)</f>
        <v>7107</v>
      </c>
      <c r="H64" s="790"/>
      <c r="I64" s="790">
        <f>SUMIF(H6:H60,"&gt;10000",I6:I60)</f>
        <v>149247</v>
      </c>
      <c r="J64" s="62"/>
      <c r="K64" s="62"/>
      <c r="L64" s="62"/>
      <c r="M64" s="62"/>
      <c r="N64" s="62"/>
      <c r="O64" s="62"/>
      <c r="P64" s="62"/>
      <c r="Q64" s="786"/>
    </row>
    <row r="65" spans="1:17" s="12" customFormat="1" ht="15.6" customHeight="1">
      <c r="A65" s="62"/>
      <c r="B65" s="62"/>
      <c r="C65" s="62"/>
      <c r="D65" s="62"/>
      <c r="E65" s="62"/>
      <c r="F65" s="62"/>
      <c r="G65" s="62"/>
      <c r="H65" s="62"/>
      <c r="I65" s="62"/>
      <c r="J65" s="62"/>
      <c r="K65" s="62"/>
      <c r="L65" s="62"/>
      <c r="M65" s="62"/>
      <c r="N65" s="62"/>
      <c r="O65" s="62"/>
      <c r="P65" s="62"/>
      <c r="Q65" s="786"/>
    </row>
    <row r="66" spans="1:17" s="12" customFormat="1" ht="15" customHeight="1">
      <c r="A66" s="62" t="s">
        <v>688</v>
      </c>
      <c r="B66" s="62"/>
      <c r="C66" s="62"/>
      <c r="D66" s="62"/>
      <c r="E66" s="62"/>
      <c r="F66" s="62"/>
      <c r="G66" s="62"/>
      <c r="H66" s="62"/>
      <c r="I66" s="62"/>
      <c r="J66" s="62"/>
      <c r="K66" s="62"/>
      <c r="L66" s="62"/>
      <c r="M66" s="62"/>
      <c r="N66" s="62"/>
      <c r="O66" s="62"/>
      <c r="P66" s="62"/>
      <c r="Q66" s="69"/>
    </row>
    <row r="67" spans="1:17" s="12" customFormat="1" ht="15.6" customHeight="1">
      <c r="A67" s="852" t="s">
        <v>689</v>
      </c>
      <c r="B67" s="852"/>
      <c r="C67" s="852"/>
      <c r="D67" s="852"/>
      <c r="E67" s="852"/>
      <c r="F67" s="852"/>
      <c r="G67" s="852"/>
      <c r="H67" s="852"/>
      <c r="I67" s="852"/>
      <c r="J67" s="852"/>
      <c r="K67" s="852"/>
      <c r="L67" s="852"/>
      <c r="M67" s="852"/>
      <c r="N67" s="852"/>
      <c r="O67" s="852"/>
      <c r="P67" s="852"/>
      <c r="Q67" s="852"/>
    </row>
    <row r="68" spans="1:17" s="12" customFormat="1" ht="15.6" customHeight="1">
      <c r="A68" s="852"/>
      <c r="B68" s="852"/>
      <c r="C68" s="852"/>
      <c r="D68" s="852"/>
      <c r="E68" s="852"/>
      <c r="F68" s="852"/>
      <c r="G68" s="852"/>
      <c r="H68" s="852"/>
      <c r="I68" s="852"/>
      <c r="J68" s="852"/>
      <c r="K68" s="852"/>
      <c r="L68" s="852"/>
      <c r="M68" s="852"/>
      <c r="N68" s="852"/>
      <c r="O68" s="852"/>
      <c r="P68" s="852"/>
      <c r="Q68" s="852"/>
    </row>
    <row r="69" spans="1:17" s="12" customFormat="1" ht="15.6" customHeight="1">
      <c r="A69" s="852"/>
      <c r="B69" s="852"/>
      <c r="C69" s="852"/>
      <c r="D69" s="852"/>
      <c r="E69" s="852"/>
      <c r="F69" s="852"/>
      <c r="G69" s="852"/>
      <c r="H69" s="852"/>
      <c r="I69" s="852"/>
      <c r="J69" s="852"/>
      <c r="K69" s="852"/>
      <c r="L69" s="852"/>
      <c r="M69" s="852"/>
      <c r="N69" s="852"/>
      <c r="O69" s="852"/>
      <c r="P69" s="852"/>
      <c r="Q69" s="852"/>
    </row>
    <row r="70" spans="1:17" s="12" customFormat="1" ht="15.6" customHeight="1">
      <c r="A70" s="894" t="s">
        <v>690</v>
      </c>
      <c r="B70" s="894"/>
      <c r="C70" s="894"/>
      <c r="D70" s="894"/>
      <c r="E70" s="894"/>
      <c r="F70" s="894"/>
      <c r="G70" s="894"/>
      <c r="H70" s="894"/>
      <c r="I70" s="894"/>
      <c r="J70" s="894"/>
      <c r="K70" s="894"/>
      <c r="L70" s="894"/>
      <c r="M70" s="894"/>
      <c r="N70" s="894"/>
      <c r="O70" s="894"/>
      <c r="P70" s="894"/>
      <c r="Q70" s="894"/>
    </row>
    <row r="71" spans="1:17" s="12" customFormat="1" ht="15.6" customHeight="1">
      <c r="A71" s="894" t="s">
        <v>691</v>
      </c>
      <c r="B71" s="894"/>
      <c r="C71" s="894"/>
      <c r="D71" s="894"/>
      <c r="E71" s="894"/>
      <c r="F71" s="894"/>
      <c r="G71" s="894"/>
      <c r="H71" s="894"/>
      <c r="I71" s="894"/>
      <c r="J71" s="894"/>
      <c r="K71" s="894"/>
      <c r="L71" s="894"/>
      <c r="M71" s="894"/>
      <c r="N71" s="894"/>
      <c r="O71" s="894"/>
      <c r="P71" s="894"/>
      <c r="Q71" s="894"/>
    </row>
    <row r="72" spans="1:17" s="12" customFormat="1" ht="15.6" customHeight="1">
      <c r="A72" s="894" t="s">
        <v>692</v>
      </c>
      <c r="B72" s="894"/>
      <c r="C72" s="894"/>
      <c r="D72" s="894"/>
      <c r="E72" s="894"/>
      <c r="F72" s="894"/>
      <c r="G72" s="894"/>
      <c r="H72" s="894"/>
      <c r="I72" s="894"/>
      <c r="J72" s="894"/>
      <c r="K72" s="894"/>
      <c r="L72" s="894"/>
      <c r="M72" s="894"/>
      <c r="N72" s="894"/>
      <c r="O72" s="894"/>
      <c r="P72" s="894"/>
      <c r="Q72" s="894"/>
    </row>
    <row r="73" spans="1:17" s="12" customFormat="1" ht="15.6" customHeight="1">
      <c r="A73" s="62"/>
      <c r="B73" s="62"/>
      <c r="C73" s="62"/>
      <c r="D73" s="62"/>
      <c r="E73" s="62"/>
      <c r="F73" s="62"/>
      <c r="G73" s="62"/>
      <c r="H73" s="62"/>
      <c r="I73" s="62"/>
      <c r="J73" s="62"/>
      <c r="K73" s="62"/>
      <c r="L73" s="62"/>
      <c r="M73" s="62"/>
      <c r="N73" s="62"/>
      <c r="O73" s="62"/>
      <c r="P73" s="62"/>
      <c r="Q73" s="69"/>
    </row>
    <row r="74" spans="1:17" s="12" customFormat="1" ht="15.6" customHeight="1">
      <c r="A74" s="62"/>
      <c r="B74" s="62"/>
      <c r="C74" s="62"/>
      <c r="D74" s="62"/>
      <c r="E74" s="62"/>
      <c r="F74" s="62"/>
      <c r="G74" s="62"/>
      <c r="H74" s="62"/>
      <c r="I74" s="62"/>
      <c r="J74" s="62"/>
      <c r="K74" s="62"/>
      <c r="L74" s="62"/>
      <c r="M74" s="62"/>
      <c r="N74" s="62"/>
      <c r="O74" s="62"/>
      <c r="P74" s="62"/>
      <c r="Q74" s="69"/>
    </row>
    <row r="75" spans="1:17" s="12" customFormat="1" ht="15.6" customHeight="1">
      <c r="A75" s="62" t="s">
        <v>693</v>
      </c>
      <c r="B75" s="62"/>
      <c r="C75" s="62"/>
      <c r="D75" s="62"/>
      <c r="E75" s="62"/>
      <c r="F75" s="62"/>
      <c r="G75" s="62"/>
      <c r="H75" s="62"/>
      <c r="I75" s="62"/>
      <c r="J75" s="62"/>
      <c r="K75" s="62"/>
      <c r="L75" s="62"/>
      <c r="M75" s="62"/>
      <c r="N75" s="62"/>
      <c r="O75" s="62"/>
      <c r="P75" s="62"/>
      <c r="Q75" s="69"/>
    </row>
    <row r="76" spans="1:17" s="12" customFormat="1" ht="15.6" customHeight="1">
      <c r="A76" s="852" t="s">
        <v>694</v>
      </c>
      <c r="B76" s="852"/>
      <c r="C76" s="852"/>
      <c r="D76" s="852"/>
      <c r="E76" s="852"/>
      <c r="F76" s="852"/>
      <c r="G76" s="852"/>
      <c r="H76" s="852"/>
      <c r="I76" s="852"/>
      <c r="J76" s="852"/>
      <c r="K76" s="852"/>
      <c r="L76" s="852"/>
      <c r="M76" s="852"/>
      <c r="N76" s="852"/>
      <c r="O76" s="852"/>
      <c r="P76" s="852"/>
      <c r="Q76" s="852"/>
    </row>
    <row r="77" spans="1:17" s="12" customFormat="1" ht="15.6" customHeight="1">
      <c r="A77" s="852"/>
      <c r="B77" s="852"/>
      <c r="C77" s="852"/>
      <c r="D77" s="852"/>
      <c r="E77" s="852"/>
      <c r="F77" s="852"/>
      <c r="G77" s="852"/>
      <c r="H77" s="852"/>
      <c r="I77" s="852"/>
      <c r="J77" s="852"/>
      <c r="K77" s="852"/>
      <c r="L77" s="852"/>
      <c r="M77" s="852"/>
      <c r="N77" s="852"/>
      <c r="O77" s="852"/>
      <c r="P77" s="852"/>
      <c r="Q77" s="852"/>
    </row>
    <row r="78" spans="1:17" s="12" customFormat="1" ht="15.6" customHeight="1">
      <c r="A78" s="852"/>
      <c r="B78" s="852"/>
      <c r="C78" s="852"/>
      <c r="D78" s="852"/>
      <c r="E78" s="852"/>
      <c r="F78" s="852"/>
      <c r="G78" s="852"/>
      <c r="H78" s="852"/>
      <c r="I78" s="852"/>
      <c r="J78" s="852"/>
      <c r="K78" s="852"/>
      <c r="L78" s="852"/>
      <c r="M78" s="852"/>
      <c r="N78" s="852"/>
      <c r="O78" s="852"/>
      <c r="P78" s="852"/>
      <c r="Q78" s="852"/>
    </row>
    <row r="79" spans="1:17" s="12" customFormat="1" ht="15.6" customHeight="1">
      <c r="A79" s="62" t="s">
        <v>695</v>
      </c>
      <c r="B79" s="62"/>
      <c r="C79" s="62"/>
      <c r="D79" s="62"/>
      <c r="E79" s="62"/>
      <c r="F79" s="62"/>
      <c r="G79" s="62"/>
      <c r="H79" s="62"/>
      <c r="I79" s="62"/>
      <c r="J79" s="62"/>
      <c r="K79" s="62"/>
      <c r="L79" s="62"/>
      <c r="M79" s="62"/>
      <c r="N79" s="62"/>
      <c r="O79" s="62"/>
      <c r="P79" s="62"/>
      <c r="Q79" s="69"/>
    </row>
    <row r="80" spans="1:17" s="12" customFormat="1" ht="15.6" customHeight="1">
      <c r="A80" s="62" t="s">
        <v>696</v>
      </c>
      <c r="B80" s="62"/>
      <c r="C80" s="62"/>
      <c r="D80" s="62"/>
      <c r="E80" s="62"/>
      <c r="F80" s="62"/>
      <c r="G80" s="62"/>
      <c r="H80" s="62"/>
      <c r="I80" s="62"/>
      <c r="J80" s="62"/>
      <c r="K80" s="62"/>
      <c r="L80" s="62"/>
      <c r="M80" s="62"/>
      <c r="N80" s="62"/>
      <c r="O80" s="62"/>
      <c r="P80" s="62"/>
      <c r="Q80" s="69"/>
    </row>
    <row r="81" spans="1:20" s="12" customFormat="1" ht="15.6" customHeight="1">
      <c r="A81" s="62"/>
      <c r="B81" s="62"/>
      <c r="C81" s="62"/>
      <c r="D81" s="62"/>
      <c r="E81" s="62"/>
      <c r="F81" s="62"/>
      <c r="G81" s="62"/>
      <c r="H81" s="62"/>
      <c r="I81" s="62"/>
      <c r="J81" s="62"/>
      <c r="K81" s="62"/>
      <c r="L81" s="62"/>
      <c r="M81" s="62"/>
      <c r="N81" s="62"/>
      <c r="O81" s="62"/>
      <c r="P81" s="62"/>
      <c r="Q81" s="69"/>
    </row>
    <row r="82" spans="1:20" s="12" customFormat="1" ht="15.6" customHeight="1">
      <c r="A82" s="62" t="s">
        <v>53</v>
      </c>
      <c r="B82" s="62"/>
      <c r="C82" s="62"/>
      <c r="D82" s="62"/>
      <c r="E82" s="62"/>
      <c r="F82" s="62"/>
      <c r="G82" s="62"/>
      <c r="H82" s="62"/>
      <c r="I82" s="62"/>
      <c r="J82" s="62"/>
      <c r="K82" s="62"/>
      <c r="L82" s="62"/>
      <c r="M82" s="62"/>
      <c r="N82" s="62"/>
      <c r="O82" s="62"/>
      <c r="P82" s="62"/>
      <c r="Q82" s="69"/>
    </row>
    <row r="83" spans="1:20" s="12" customFormat="1" ht="15.6" customHeight="1">
      <c r="A83" s="852" t="s">
        <v>697</v>
      </c>
      <c r="B83" s="1075"/>
      <c r="C83" s="1075"/>
      <c r="D83" s="1075"/>
      <c r="E83" s="1075"/>
      <c r="F83" s="1075"/>
      <c r="G83" s="1075"/>
      <c r="H83" s="1075"/>
      <c r="I83" s="1075"/>
      <c r="J83" s="1075"/>
      <c r="K83" s="1075"/>
      <c r="L83" s="1075"/>
      <c r="M83" s="1075"/>
      <c r="N83" s="1075"/>
      <c r="O83" s="1075"/>
      <c r="P83" s="1075"/>
      <c r="Q83" s="1075"/>
      <c r="R83" s="83"/>
      <c r="S83" s="83"/>
      <c r="T83" s="83"/>
    </row>
    <row r="84" spans="1:20" s="12" customFormat="1" ht="15.6" customHeight="1">
      <c r="A84" s="1075"/>
      <c r="B84" s="1075"/>
      <c r="C84" s="1075"/>
      <c r="D84" s="1075"/>
      <c r="E84" s="1075"/>
      <c r="F84" s="1075"/>
      <c r="G84" s="1075"/>
      <c r="H84" s="1075"/>
      <c r="I84" s="1075"/>
      <c r="J84" s="1075"/>
      <c r="K84" s="1075"/>
      <c r="L84" s="1075"/>
      <c r="M84" s="1075"/>
      <c r="N84" s="1075"/>
      <c r="O84" s="1075"/>
      <c r="P84" s="1075"/>
      <c r="Q84" s="1075"/>
      <c r="R84" s="83"/>
      <c r="S84" s="83"/>
      <c r="T84" s="83"/>
    </row>
    <row r="85" spans="1:20" s="12" customFormat="1" ht="15.6" customHeight="1">
      <c r="A85" s="894" t="s">
        <v>698</v>
      </c>
      <c r="B85" s="894"/>
      <c r="C85" s="894"/>
      <c r="D85" s="894"/>
      <c r="E85" s="894"/>
      <c r="F85" s="894"/>
      <c r="G85" s="894"/>
      <c r="H85" s="894"/>
      <c r="I85" s="894"/>
      <c r="J85" s="894"/>
      <c r="K85" s="894"/>
      <c r="L85" s="894"/>
      <c r="M85" s="894"/>
      <c r="N85" s="894"/>
      <c r="O85" s="894"/>
      <c r="P85" s="894"/>
      <c r="Q85" s="894"/>
    </row>
    <row r="86" spans="1:20" s="12" customFormat="1" ht="15.6" customHeight="1">
      <c r="A86" s="852" t="s">
        <v>699</v>
      </c>
      <c r="B86" s="852"/>
      <c r="C86" s="852"/>
      <c r="D86" s="852"/>
      <c r="E86" s="852"/>
      <c r="F86" s="852"/>
      <c r="G86" s="852"/>
      <c r="H86" s="852"/>
      <c r="I86" s="852"/>
      <c r="J86" s="852"/>
      <c r="K86" s="852"/>
      <c r="L86" s="852"/>
      <c r="M86" s="852"/>
      <c r="N86" s="852"/>
      <c r="O86" s="852"/>
      <c r="P86" s="852"/>
      <c r="Q86" s="852"/>
    </row>
    <row r="87" spans="1:20" s="12" customFormat="1" ht="15.6" customHeight="1">
      <c r="A87" s="852"/>
      <c r="B87" s="852"/>
      <c r="C87" s="852"/>
      <c r="D87" s="852"/>
      <c r="E87" s="852"/>
      <c r="F87" s="852"/>
      <c r="G87" s="852"/>
      <c r="H87" s="852"/>
      <c r="I87" s="852"/>
      <c r="J87" s="852"/>
      <c r="K87" s="852"/>
      <c r="L87" s="852"/>
      <c r="M87" s="852"/>
      <c r="N87" s="852"/>
      <c r="O87" s="852"/>
      <c r="P87" s="852"/>
      <c r="Q87" s="852"/>
    </row>
    <row r="88" spans="1:20" s="12" customFormat="1" ht="15.6" customHeight="1">
      <c r="A88" s="62"/>
      <c r="B88" s="62"/>
      <c r="C88" s="62"/>
      <c r="D88" s="62"/>
      <c r="E88" s="62"/>
      <c r="F88" s="62"/>
      <c r="G88" s="62"/>
      <c r="H88" s="62"/>
      <c r="I88" s="62"/>
      <c r="J88" s="62"/>
      <c r="K88" s="62"/>
      <c r="L88" s="62"/>
      <c r="M88" s="62"/>
      <c r="N88" s="62"/>
      <c r="O88" s="62"/>
      <c r="P88" s="62"/>
      <c r="Q88" s="69"/>
    </row>
    <row r="89" spans="1:20" s="12" customFormat="1" ht="15.6" customHeight="1">
      <c r="A89" s="62"/>
      <c r="B89" s="62"/>
      <c r="C89" s="62"/>
      <c r="D89" s="62"/>
      <c r="G89" s="62"/>
      <c r="H89" s="62"/>
      <c r="I89" s="62"/>
      <c r="J89" s="62"/>
      <c r="K89" s="62"/>
      <c r="L89" s="62"/>
      <c r="M89" s="62"/>
      <c r="N89" s="62"/>
      <c r="O89" s="62"/>
      <c r="P89" s="62"/>
      <c r="Q89" s="69"/>
    </row>
    <row r="90" spans="1:20" s="12" customFormat="1" ht="36" customHeight="1"/>
    <row r="91" spans="1:20" s="12" customFormat="1" ht="18" customHeight="1">
      <c r="A91"/>
      <c r="B91"/>
      <c r="C91"/>
      <c r="D91"/>
      <c r="E91"/>
      <c r="F91"/>
      <c r="G91"/>
      <c r="H91"/>
      <c r="I91"/>
      <c r="J91"/>
      <c r="K91"/>
      <c r="L91"/>
      <c r="M91"/>
      <c r="N91"/>
      <c r="O91"/>
      <c r="P91"/>
      <c r="Q91"/>
    </row>
    <row r="92" spans="1:20" s="12" customFormat="1" ht="18" customHeight="1">
      <c r="A92"/>
      <c r="B92"/>
      <c r="C92"/>
      <c r="D92"/>
      <c r="E92"/>
      <c r="F92"/>
      <c r="G92"/>
      <c r="H92"/>
      <c r="I92"/>
      <c r="J92"/>
      <c r="K92"/>
      <c r="L92"/>
      <c r="M92"/>
      <c r="N92"/>
      <c r="O92"/>
      <c r="P92"/>
      <c r="Q92"/>
    </row>
    <row r="93" spans="1:20" s="12" customFormat="1" ht="18" customHeight="1">
      <c r="A93"/>
      <c r="B93"/>
      <c r="C93"/>
      <c r="D93"/>
      <c r="E93"/>
      <c r="F93"/>
      <c r="G93"/>
      <c r="H93"/>
      <c r="I93"/>
      <c r="J93"/>
      <c r="K93"/>
      <c r="L93"/>
      <c r="M93"/>
      <c r="N93"/>
      <c r="O93"/>
      <c r="P93"/>
      <c r="Q93"/>
    </row>
    <row r="94" spans="1:20" s="12" customFormat="1" ht="18" customHeight="1">
      <c r="A94"/>
      <c r="B94"/>
      <c r="C94"/>
      <c r="D94"/>
      <c r="E94"/>
      <c r="F94"/>
      <c r="G94"/>
      <c r="H94"/>
      <c r="I94"/>
      <c r="J94"/>
      <c r="K94"/>
      <c r="L94"/>
      <c r="M94"/>
      <c r="N94"/>
      <c r="O94"/>
      <c r="P94"/>
      <c r="Q94"/>
    </row>
    <row r="95" spans="1:20" s="12" customFormat="1" ht="18" customHeight="1">
      <c r="A95"/>
      <c r="B95"/>
      <c r="C95"/>
      <c r="D95"/>
      <c r="E95"/>
      <c r="F95"/>
      <c r="G95"/>
      <c r="H95"/>
      <c r="I95"/>
      <c r="J95"/>
      <c r="K95"/>
      <c r="L95"/>
      <c r="M95"/>
      <c r="N95"/>
      <c r="O95"/>
      <c r="P95"/>
      <c r="Q95"/>
    </row>
    <row r="96" spans="1:20" s="12" customFormat="1" ht="18" customHeight="1">
      <c r="A96"/>
      <c r="B96"/>
      <c r="C96"/>
      <c r="D96"/>
      <c r="E96"/>
      <c r="F96"/>
      <c r="G96"/>
      <c r="H96"/>
      <c r="I96"/>
      <c r="J96"/>
      <c r="K96"/>
      <c r="L96"/>
      <c r="M96"/>
      <c r="N96"/>
      <c r="O96"/>
      <c r="P96"/>
      <c r="Q96"/>
    </row>
    <row r="97" spans="1:17" s="12" customFormat="1" ht="18" customHeight="1">
      <c r="A97"/>
      <c r="B97"/>
      <c r="C97"/>
      <c r="D97"/>
      <c r="E97"/>
      <c r="F97"/>
      <c r="G97"/>
      <c r="H97"/>
      <c r="I97"/>
      <c r="J97"/>
      <c r="K97"/>
      <c r="L97"/>
      <c r="M97"/>
      <c r="N97"/>
      <c r="O97"/>
      <c r="P97"/>
      <c r="Q97"/>
    </row>
    <row r="98" spans="1:17" s="12" customFormat="1" ht="18" customHeight="1">
      <c r="A98"/>
      <c r="B98"/>
      <c r="C98"/>
      <c r="D98"/>
      <c r="E98"/>
      <c r="F98"/>
      <c r="G98"/>
      <c r="H98"/>
      <c r="I98"/>
      <c r="J98"/>
      <c r="K98"/>
      <c r="L98"/>
      <c r="M98"/>
      <c r="N98"/>
      <c r="O98"/>
      <c r="P98"/>
      <c r="Q98"/>
    </row>
    <row r="99" spans="1:17" s="12" customFormat="1" ht="18" customHeight="1">
      <c r="A99"/>
      <c r="B99"/>
      <c r="C99"/>
      <c r="D99"/>
      <c r="E99"/>
      <c r="F99"/>
      <c r="G99"/>
      <c r="H99"/>
      <c r="I99"/>
      <c r="J99"/>
      <c r="K99"/>
      <c r="L99"/>
      <c r="M99"/>
      <c r="N99"/>
      <c r="O99"/>
      <c r="P99"/>
      <c r="Q99"/>
    </row>
    <row r="100" spans="1:17" s="12" customFormat="1" ht="18" customHeight="1">
      <c r="A100"/>
      <c r="B100"/>
      <c r="C100"/>
      <c r="D100"/>
      <c r="E100"/>
      <c r="F100"/>
      <c r="G100"/>
      <c r="H100"/>
      <c r="I100"/>
      <c r="J100"/>
      <c r="K100"/>
      <c r="L100"/>
      <c r="M100"/>
      <c r="N100"/>
      <c r="O100"/>
      <c r="P100"/>
      <c r="Q100"/>
    </row>
    <row r="101" spans="1:17" s="12" customFormat="1" ht="18" customHeight="1">
      <c r="A101"/>
      <c r="B101"/>
      <c r="C101"/>
      <c r="D101"/>
      <c r="E101"/>
      <c r="F101"/>
      <c r="G101"/>
      <c r="H101"/>
      <c r="I101"/>
      <c r="J101"/>
      <c r="K101"/>
      <c r="L101"/>
      <c r="M101"/>
      <c r="N101"/>
      <c r="O101"/>
      <c r="P101"/>
      <c r="Q101"/>
    </row>
    <row r="102" spans="1:17" s="12" customFormat="1" ht="18" customHeight="1">
      <c r="A102"/>
      <c r="B102"/>
      <c r="C102"/>
      <c r="D102"/>
      <c r="E102"/>
      <c r="F102"/>
      <c r="G102"/>
      <c r="H102"/>
      <c r="I102"/>
      <c r="J102"/>
      <c r="K102"/>
      <c r="L102"/>
      <c r="M102"/>
      <c r="N102"/>
      <c r="O102"/>
      <c r="P102"/>
      <c r="Q102"/>
    </row>
    <row r="103" spans="1:17" s="12" customFormat="1" ht="18" customHeight="1">
      <c r="A103"/>
      <c r="B103"/>
      <c r="C103"/>
      <c r="D103"/>
      <c r="E103"/>
      <c r="F103"/>
      <c r="G103"/>
      <c r="H103"/>
      <c r="I103"/>
      <c r="J103"/>
      <c r="K103"/>
      <c r="L103"/>
      <c r="M103"/>
      <c r="N103"/>
      <c r="O103"/>
      <c r="P103"/>
      <c r="Q103"/>
    </row>
    <row r="104" spans="1:17" s="12" customFormat="1" ht="18" customHeight="1">
      <c r="A104"/>
      <c r="B104"/>
      <c r="C104"/>
      <c r="D104"/>
      <c r="E104"/>
      <c r="F104"/>
      <c r="G104"/>
      <c r="H104"/>
      <c r="I104"/>
      <c r="J104"/>
      <c r="K104"/>
      <c r="L104"/>
      <c r="M104"/>
      <c r="N104"/>
      <c r="O104"/>
      <c r="P104"/>
      <c r="Q104"/>
    </row>
    <row r="105" spans="1:17" s="12" customFormat="1" ht="18" customHeight="1">
      <c r="A105"/>
      <c r="B105"/>
      <c r="C105"/>
      <c r="D105"/>
      <c r="E105"/>
      <c r="F105"/>
      <c r="G105"/>
      <c r="H105"/>
      <c r="I105"/>
      <c r="J105"/>
      <c r="K105"/>
      <c r="L105"/>
      <c r="M105"/>
      <c r="N105"/>
      <c r="O105"/>
      <c r="P105"/>
      <c r="Q105"/>
    </row>
    <row r="106" spans="1:17" s="12" customFormat="1" ht="18" customHeight="1">
      <c r="A106"/>
      <c r="B106"/>
      <c r="C106"/>
      <c r="D106"/>
      <c r="E106"/>
      <c r="F106"/>
      <c r="G106"/>
      <c r="H106"/>
      <c r="I106"/>
      <c r="J106"/>
      <c r="K106"/>
      <c r="L106"/>
      <c r="M106"/>
      <c r="N106"/>
      <c r="O106"/>
      <c r="P106"/>
      <c r="Q106"/>
    </row>
    <row r="107" spans="1:17" s="12" customFormat="1" ht="18" customHeight="1">
      <c r="A107"/>
      <c r="B107"/>
      <c r="C107"/>
      <c r="D107"/>
      <c r="E107"/>
      <c r="F107"/>
      <c r="G107"/>
      <c r="H107"/>
      <c r="I107"/>
      <c r="J107"/>
      <c r="K107"/>
      <c r="L107"/>
      <c r="M107"/>
      <c r="N107"/>
      <c r="O107"/>
      <c r="P107"/>
      <c r="Q107"/>
    </row>
    <row r="108" spans="1:17" s="12" customFormat="1" ht="18" customHeight="1">
      <c r="A108"/>
      <c r="B108"/>
      <c r="C108"/>
      <c r="D108"/>
      <c r="E108"/>
      <c r="F108"/>
      <c r="G108"/>
      <c r="H108"/>
      <c r="I108"/>
      <c r="J108"/>
      <c r="K108"/>
      <c r="L108"/>
      <c r="M108"/>
      <c r="N108"/>
      <c r="O108"/>
      <c r="P108"/>
      <c r="Q108"/>
    </row>
    <row r="109" spans="1:17" s="12" customFormat="1" ht="36" customHeight="1">
      <c r="A109"/>
      <c r="B109"/>
      <c r="C109"/>
      <c r="D109"/>
      <c r="E109"/>
      <c r="F109"/>
      <c r="G109"/>
      <c r="H109"/>
      <c r="I109"/>
      <c r="J109"/>
      <c r="K109"/>
      <c r="L109"/>
      <c r="M109"/>
      <c r="N109"/>
      <c r="O109"/>
      <c r="P109"/>
      <c r="Q109"/>
    </row>
    <row r="110" spans="1:17" s="12" customFormat="1" ht="18" customHeight="1">
      <c r="A110"/>
      <c r="B110"/>
      <c r="C110"/>
      <c r="D110"/>
      <c r="E110"/>
      <c r="F110"/>
      <c r="G110"/>
      <c r="H110"/>
      <c r="I110"/>
      <c r="J110"/>
      <c r="K110"/>
      <c r="L110"/>
      <c r="M110"/>
      <c r="N110"/>
      <c r="O110"/>
      <c r="P110"/>
      <c r="Q110"/>
    </row>
    <row r="111" spans="1:17" s="12" customFormat="1" ht="18" customHeight="1">
      <c r="A111"/>
      <c r="B111"/>
      <c r="C111"/>
      <c r="D111"/>
      <c r="E111"/>
      <c r="F111"/>
      <c r="G111"/>
      <c r="H111"/>
      <c r="I111"/>
      <c r="J111"/>
      <c r="K111"/>
      <c r="L111"/>
      <c r="M111"/>
      <c r="N111"/>
      <c r="O111"/>
      <c r="P111"/>
      <c r="Q111"/>
    </row>
    <row r="112" spans="1:17" s="12" customFormat="1" ht="18" customHeight="1">
      <c r="A112"/>
      <c r="B112"/>
      <c r="C112"/>
      <c r="D112"/>
      <c r="E112"/>
      <c r="F112"/>
      <c r="G112"/>
      <c r="H112"/>
      <c r="I112"/>
      <c r="J112"/>
      <c r="K112"/>
      <c r="L112"/>
      <c r="M112"/>
      <c r="N112"/>
      <c r="O112"/>
      <c r="P112"/>
      <c r="Q112"/>
    </row>
    <row r="113" spans="1:20" s="12" customFormat="1" ht="18" customHeight="1">
      <c r="A113"/>
      <c r="B113"/>
      <c r="C113"/>
      <c r="D113"/>
      <c r="E113"/>
      <c r="F113"/>
      <c r="G113"/>
      <c r="H113"/>
      <c r="I113"/>
      <c r="J113"/>
      <c r="K113"/>
      <c r="L113"/>
      <c r="M113"/>
      <c r="N113"/>
      <c r="O113"/>
      <c r="P113"/>
      <c r="Q113"/>
    </row>
    <row r="114" spans="1:20" s="12" customFormat="1" ht="18" customHeight="1">
      <c r="A114"/>
      <c r="B114"/>
      <c r="C114"/>
      <c r="D114"/>
      <c r="E114"/>
      <c r="F114"/>
      <c r="G114"/>
      <c r="H114"/>
      <c r="I114"/>
      <c r="J114"/>
      <c r="K114"/>
      <c r="L114"/>
      <c r="M114"/>
      <c r="N114"/>
      <c r="O114"/>
      <c r="P114"/>
      <c r="Q114"/>
    </row>
    <row r="115" spans="1:20" s="12" customFormat="1" ht="18" customHeight="1">
      <c r="A115"/>
      <c r="B115"/>
      <c r="C115"/>
      <c r="D115"/>
      <c r="E115"/>
      <c r="F115"/>
      <c r="G115"/>
      <c r="H115"/>
      <c r="I115"/>
      <c r="J115"/>
      <c r="K115"/>
      <c r="L115"/>
      <c r="M115"/>
      <c r="N115"/>
      <c r="O115"/>
      <c r="P115"/>
      <c r="Q115"/>
    </row>
    <row r="116" spans="1:20" s="12" customFormat="1" ht="18" customHeight="1">
      <c r="A116"/>
      <c r="B116"/>
      <c r="C116"/>
      <c r="D116"/>
      <c r="E116"/>
      <c r="F116"/>
      <c r="G116"/>
      <c r="H116"/>
      <c r="I116"/>
      <c r="J116"/>
      <c r="K116"/>
      <c r="L116"/>
      <c r="M116"/>
      <c r="N116"/>
      <c r="O116"/>
      <c r="P116"/>
      <c r="Q116"/>
    </row>
    <row r="117" spans="1:20" s="64" customFormat="1" ht="30.6" customHeight="1">
      <c r="A117"/>
      <c r="B117"/>
      <c r="C117"/>
      <c r="D117"/>
      <c r="E117"/>
      <c r="F117"/>
      <c r="G117"/>
      <c r="H117"/>
      <c r="I117"/>
      <c r="J117"/>
      <c r="K117"/>
      <c r="L117"/>
      <c r="M117"/>
      <c r="N117"/>
      <c r="O117"/>
      <c r="P117"/>
      <c r="Q117"/>
      <c r="R117" s="63"/>
      <c r="S117" s="63"/>
      <c r="T117" s="63"/>
    </row>
    <row r="118" spans="1:20" s="64" customFormat="1" ht="30.6" customHeight="1">
      <c r="A118"/>
      <c r="B118"/>
      <c r="C118"/>
      <c r="D118"/>
      <c r="E118"/>
      <c r="F118"/>
      <c r="G118"/>
      <c r="H118"/>
      <c r="I118"/>
      <c r="J118"/>
      <c r="K118"/>
      <c r="L118"/>
      <c r="M118"/>
      <c r="N118"/>
      <c r="O118"/>
      <c r="P118"/>
      <c r="Q118"/>
      <c r="R118" s="63"/>
      <c r="S118" s="63"/>
      <c r="T118" s="63"/>
    </row>
    <row r="119" spans="1:20" s="64" customFormat="1" ht="18" customHeight="1">
      <c r="A119"/>
      <c r="B119"/>
      <c r="C119"/>
      <c r="D119"/>
      <c r="E119"/>
      <c r="F119"/>
      <c r="G119"/>
      <c r="H119"/>
      <c r="I119"/>
      <c r="J119"/>
      <c r="K119"/>
      <c r="L119"/>
      <c r="M119"/>
      <c r="N119"/>
      <c r="O119"/>
      <c r="P119"/>
      <c r="Q119"/>
    </row>
    <row r="120" spans="1:20" s="64" customFormat="1" ht="30.6" customHeight="1">
      <c r="A120"/>
      <c r="B120"/>
      <c r="C120"/>
      <c r="D120"/>
      <c r="E120"/>
      <c r="F120"/>
      <c r="G120"/>
      <c r="H120"/>
      <c r="I120"/>
      <c r="J120"/>
      <c r="K120"/>
      <c r="L120"/>
      <c r="M120"/>
      <c r="N120"/>
      <c r="O120"/>
      <c r="P120"/>
      <c r="Q120"/>
      <c r="R120" s="63"/>
      <c r="S120" s="63"/>
      <c r="T120" s="63"/>
    </row>
    <row r="122" spans="1:20" ht="18" customHeight="1"/>
    <row r="123" spans="1:20" ht="18" customHeight="1"/>
    <row r="124" spans="1:20" ht="18" customHeight="1"/>
    <row r="125" spans="1:20" ht="18" customHeight="1"/>
    <row r="126" spans="1:20" ht="18" customHeight="1"/>
    <row r="127" spans="1:20" ht="18" customHeight="1"/>
    <row r="128" spans="1:20" ht="36" customHeight="1"/>
    <row r="129" ht="120" customHeight="1"/>
    <row r="130" ht="18" customHeight="1"/>
    <row r="131" ht="18" customHeight="1"/>
    <row r="132" ht="18" customHeight="1"/>
    <row r="133" ht="18" customHeight="1"/>
    <row r="134" ht="24" customHeight="1"/>
  </sheetData>
  <mergeCells count="32">
    <mergeCell ref="A85:Q85"/>
    <mergeCell ref="A83:Q84"/>
    <mergeCell ref="A86:Q87"/>
    <mergeCell ref="A76:Q78"/>
    <mergeCell ref="H4:H5"/>
    <mergeCell ref="I4:I5"/>
    <mergeCell ref="J4:J5"/>
    <mergeCell ref="K4:L4"/>
    <mergeCell ref="A72:Q72"/>
    <mergeCell ref="E4:E5"/>
    <mergeCell ref="A67:Q69"/>
    <mergeCell ref="A70:Q70"/>
    <mergeCell ref="A71:Q71"/>
    <mergeCell ref="M4:M5"/>
    <mergeCell ref="N4:N5"/>
    <mergeCell ref="O4:O5"/>
    <mergeCell ref="P4:P5"/>
    <mergeCell ref="Q4:Q5"/>
    <mergeCell ref="G4:G5"/>
    <mergeCell ref="A3:B3"/>
    <mergeCell ref="C3:D3"/>
    <mergeCell ref="A4:A5"/>
    <mergeCell ref="B4:B5"/>
    <mergeCell ref="C4:C5"/>
    <mergeCell ref="D4:D5"/>
    <mergeCell ref="F4:F5"/>
    <mergeCell ref="A6:A29"/>
    <mergeCell ref="A54:A61"/>
    <mergeCell ref="Q6:Q29"/>
    <mergeCell ref="Q54:Q61"/>
    <mergeCell ref="A30:A53"/>
    <mergeCell ref="Q30:Q53"/>
  </mergeCells>
  <phoneticPr fontId="3"/>
  <pageMargins left="0.70866141732283472" right="0.70866141732283472" top="0.74803149606299213" bottom="0.74803149606299213" header="0.31496062992125984" footer="0.31496062992125984"/>
  <pageSetup paperSize="9" scale="94" orientation="landscape" r:id="rId1"/>
  <rowBreaks count="2" manualBreakCount="2">
    <brk id="53" max="15" man="1"/>
    <brk id="88"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heetViews>
  <sheetFormatPr defaultRowHeight="13.5"/>
  <cols>
    <col min="1" max="52" width="2.625" style="65" customWidth="1"/>
  </cols>
  <sheetData>
    <row r="1" spans="1:33" s="65" customFormat="1" ht="18"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6"/>
    </row>
    <row r="2" spans="1:33" s="65" customFormat="1" ht="18" customHeight="1">
      <c r="A2" s="1500" t="s">
        <v>700</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row>
    <row r="3" spans="1:33" s="65" customFormat="1" ht="18"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s="65" customFormat="1" ht="18" customHeight="1">
      <c r="A4" s="852" t="s">
        <v>701</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row>
    <row r="5" spans="1:33" s="65" customFormat="1" ht="18" customHeight="1">
      <c r="A5" s="852"/>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row>
    <row r="6" spans="1:33" s="65" customFormat="1" ht="18" customHeight="1">
      <c r="A6" s="62"/>
      <c r="B6" s="62"/>
      <c r="C6" s="62"/>
      <c r="D6" s="62"/>
      <c r="E6" s="62"/>
      <c r="F6" s="62"/>
      <c r="G6" s="62"/>
      <c r="H6" s="62"/>
      <c r="I6" s="62"/>
      <c r="J6" s="62"/>
      <c r="K6" s="62"/>
      <c r="L6" s="62"/>
      <c r="M6" s="62"/>
      <c r="N6" s="62"/>
      <c r="O6" s="62"/>
      <c r="P6" s="70"/>
      <c r="Q6" s="62"/>
      <c r="R6" s="62"/>
      <c r="S6" s="62"/>
      <c r="T6" s="62"/>
      <c r="U6" s="62"/>
      <c r="V6" s="62"/>
      <c r="W6" s="62"/>
      <c r="X6" s="62"/>
      <c r="Y6" s="62"/>
      <c r="Z6" s="62"/>
      <c r="AA6" s="62"/>
      <c r="AB6" s="62"/>
      <c r="AC6" s="62"/>
      <c r="AD6" s="62"/>
      <c r="AE6" s="62"/>
      <c r="AF6" s="62"/>
      <c r="AG6" s="62"/>
    </row>
    <row r="7" spans="1:33" s="65" customFormat="1" ht="18" customHeight="1">
      <c r="A7" s="1446" t="s">
        <v>702</v>
      </c>
      <c r="B7" s="1446"/>
      <c r="C7" s="1446"/>
      <c r="D7" s="1446"/>
      <c r="E7" s="1446"/>
      <c r="F7" s="1446"/>
      <c r="G7" s="1446"/>
      <c r="H7" s="62"/>
      <c r="I7" s="62"/>
      <c r="J7" s="62"/>
      <c r="K7" s="62"/>
      <c r="L7" s="62"/>
      <c r="M7" s="62"/>
      <c r="N7" s="62"/>
      <c r="O7" s="62"/>
      <c r="P7" s="70"/>
      <c r="Q7" s="62"/>
      <c r="R7" s="62"/>
      <c r="S7" s="62"/>
      <c r="T7" s="62"/>
      <c r="U7" s="62"/>
      <c r="V7" s="62"/>
      <c r="W7" s="62"/>
      <c r="X7" s="62"/>
      <c r="Y7" s="62"/>
      <c r="Z7" s="62"/>
      <c r="AA7" s="62"/>
      <c r="AB7" s="62"/>
      <c r="AC7" s="62"/>
      <c r="AD7" s="62"/>
      <c r="AE7" s="62"/>
      <c r="AF7" s="62"/>
      <c r="AG7" s="62"/>
    </row>
    <row r="8" spans="1:33" s="65" customFormat="1" ht="18"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row>
    <row r="9" spans="1:33" s="65" customFormat="1" ht="18" customHeight="1">
      <c r="A9" s="62"/>
      <c r="B9" s="62"/>
      <c r="C9" s="62"/>
      <c r="D9" s="62"/>
      <c r="E9" s="62"/>
      <c r="F9" s="62"/>
      <c r="G9" s="62"/>
      <c r="H9" s="62"/>
      <c r="I9" s="62"/>
      <c r="J9" s="62"/>
      <c r="K9" s="62"/>
      <c r="L9" s="62"/>
      <c r="M9" s="62"/>
      <c r="N9" s="62"/>
      <c r="O9" s="62"/>
      <c r="P9" s="62"/>
      <c r="Q9" s="62"/>
      <c r="R9" s="62"/>
      <c r="S9" s="62"/>
      <c r="T9" s="62"/>
      <c r="U9" s="62"/>
      <c r="V9" s="894" t="s">
        <v>703</v>
      </c>
      <c r="W9" s="894"/>
      <c r="X9" s="894"/>
      <c r="Y9" s="894"/>
      <c r="Z9" s="894"/>
      <c r="AA9" s="894"/>
      <c r="AB9" s="894"/>
      <c r="AC9" s="894"/>
      <c r="AD9" s="894"/>
      <c r="AE9" s="894"/>
      <c r="AF9" s="894"/>
      <c r="AG9" s="894"/>
    </row>
    <row r="10" spans="1:33" s="65" customFormat="1" ht="18" customHeight="1">
      <c r="A10" s="62"/>
      <c r="B10" s="62"/>
      <c r="C10" s="62"/>
      <c r="D10" s="62"/>
      <c r="E10" s="62"/>
      <c r="F10" s="62"/>
      <c r="G10" s="62"/>
      <c r="H10" s="62"/>
      <c r="I10" s="62"/>
      <c r="J10" s="62"/>
      <c r="K10" s="62"/>
      <c r="L10" s="62"/>
      <c r="M10" s="62"/>
      <c r="N10" s="62"/>
      <c r="O10" s="62"/>
      <c r="P10" s="70"/>
      <c r="Q10" s="62" t="s">
        <v>704</v>
      </c>
      <c r="R10" s="62"/>
      <c r="S10" s="62"/>
      <c r="T10" s="62"/>
      <c r="U10" s="1446"/>
      <c r="V10" s="1446"/>
      <c r="W10" s="1446"/>
      <c r="X10" s="1446"/>
      <c r="Y10" s="1446"/>
      <c r="Z10" s="1446"/>
      <c r="AA10" s="1446"/>
      <c r="AB10" s="1446"/>
      <c r="AC10" s="1446"/>
      <c r="AD10" s="1446"/>
      <c r="AE10" s="1446"/>
      <c r="AF10" s="1446"/>
      <c r="AG10" s="62"/>
    </row>
    <row r="11" spans="1:33" s="65" customFormat="1" ht="18" customHeight="1">
      <c r="A11" s="62"/>
      <c r="B11" s="62"/>
      <c r="C11" s="62"/>
      <c r="D11" s="62"/>
      <c r="E11" s="62"/>
      <c r="F11" s="62"/>
      <c r="G11" s="62"/>
      <c r="H11" s="62"/>
      <c r="I11" s="62"/>
      <c r="J11" s="62"/>
      <c r="K11" s="62"/>
      <c r="L11" s="62"/>
      <c r="M11" s="62"/>
      <c r="N11" s="62"/>
      <c r="O11" s="62"/>
      <c r="P11" s="70"/>
      <c r="Q11" s="62" t="s">
        <v>705</v>
      </c>
      <c r="R11" s="62"/>
      <c r="S11" s="62"/>
      <c r="T11" s="62"/>
      <c r="U11" s="1446"/>
      <c r="V11" s="1446"/>
      <c r="W11" s="1446"/>
      <c r="X11" s="1446"/>
      <c r="Y11" s="1446"/>
      <c r="Z11" s="1446"/>
      <c r="AA11" s="1446"/>
      <c r="AB11" s="1446"/>
      <c r="AC11" s="1446"/>
      <c r="AD11" s="1446"/>
      <c r="AE11" s="1446"/>
      <c r="AF11" s="1446"/>
      <c r="AG11" s="62"/>
    </row>
    <row r="12" spans="1:33" s="65" customFormat="1" ht="18" customHeight="1">
      <c r="A12" s="62"/>
      <c r="B12" s="62"/>
      <c r="C12" s="62"/>
      <c r="D12" s="62"/>
      <c r="E12" s="62"/>
      <c r="F12" s="62"/>
      <c r="G12" s="62"/>
      <c r="H12" s="62"/>
      <c r="I12" s="62"/>
      <c r="J12" s="62"/>
      <c r="K12" s="62"/>
      <c r="L12" s="62"/>
      <c r="M12" s="62"/>
      <c r="N12" s="62"/>
      <c r="O12" s="62"/>
      <c r="P12" s="62"/>
      <c r="Q12" s="62"/>
      <c r="R12" s="62"/>
      <c r="S12" s="62"/>
      <c r="T12" s="62"/>
      <c r="U12" s="62"/>
      <c r="V12" s="894" t="s">
        <v>706</v>
      </c>
      <c r="W12" s="894"/>
      <c r="X12" s="894"/>
      <c r="Y12" s="894"/>
      <c r="Z12" s="894"/>
      <c r="AA12" s="894"/>
      <c r="AB12" s="894"/>
      <c r="AC12" s="894"/>
      <c r="AD12" s="894"/>
      <c r="AE12" s="894"/>
      <c r="AF12" s="894"/>
      <c r="AG12" s="894"/>
    </row>
    <row r="13" spans="1:33" s="65" customFormat="1" ht="18" customHeight="1">
      <c r="A13" s="62"/>
      <c r="B13" s="62"/>
      <c r="C13" s="62"/>
      <c r="D13" s="62"/>
      <c r="E13" s="62"/>
      <c r="F13" s="62"/>
      <c r="G13" s="62"/>
      <c r="H13" s="62"/>
      <c r="I13" s="62"/>
      <c r="J13" s="62"/>
      <c r="K13" s="62"/>
      <c r="L13" s="62"/>
      <c r="M13" s="62"/>
      <c r="N13" s="62"/>
      <c r="O13" s="62"/>
      <c r="P13" s="70"/>
      <c r="Q13" s="62" t="s">
        <v>704</v>
      </c>
      <c r="R13" s="62"/>
      <c r="S13" s="62"/>
      <c r="T13" s="62"/>
      <c r="U13" s="1446"/>
      <c r="V13" s="1446"/>
      <c r="W13" s="1446"/>
      <c r="X13" s="1446"/>
      <c r="Y13" s="1446"/>
      <c r="Z13" s="1446"/>
      <c r="AA13" s="1446"/>
      <c r="AB13" s="1446"/>
      <c r="AC13" s="1446"/>
      <c r="AD13" s="1446"/>
      <c r="AE13" s="1446"/>
      <c r="AF13" s="1446"/>
      <c r="AG13" s="62"/>
    </row>
    <row r="14" spans="1:33" s="65" customFormat="1" ht="18" customHeight="1">
      <c r="A14" s="62"/>
      <c r="B14" s="62"/>
      <c r="C14" s="62"/>
      <c r="D14" s="62"/>
      <c r="E14" s="62"/>
      <c r="F14" s="62"/>
      <c r="G14" s="62"/>
      <c r="H14" s="62"/>
      <c r="I14" s="62"/>
      <c r="J14" s="62"/>
      <c r="K14" s="62"/>
      <c r="L14" s="62"/>
      <c r="M14" s="62"/>
      <c r="N14" s="62"/>
      <c r="O14" s="62"/>
      <c r="P14" s="62"/>
      <c r="Q14" s="62" t="s">
        <v>707</v>
      </c>
      <c r="R14" s="62"/>
      <c r="S14" s="62"/>
      <c r="T14" s="62"/>
      <c r="U14" s="1446"/>
      <c r="V14" s="1446"/>
      <c r="W14" s="1446"/>
      <c r="X14" s="1446"/>
      <c r="Y14" s="1446"/>
      <c r="Z14" s="1446"/>
      <c r="AA14" s="1446"/>
      <c r="AB14" s="1446"/>
      <c r="AC14" s="1446"/>
      <c r="AD14" s="1446"/>
      <c r="AE14" s="1446"/>
      <c r="AF14" s="1446"/>
      <c r="AG14" s="62"/>
    </row>
    <row r="15" spans="1:33" s="65" customFormat="1" ht="18" customHeight="1">
      <c r="A15" s="62"/>
      <c r="B15" s="62"/>
      <c r="C15" s="62"/>
      <c r="D15" s="62"/>
      <c r="E15" s="62"/>
      <c r="F15" s="62"/>
      <c r="G15" s="62"/>
      <c r="H15" s="62"/>
      <c r="I15" s="62"/>
      <c r="J15" s="62"/>
      <c r="K15" s="62"/>
      <c r="L15" s="62"/>
      <c r="M15" s="62"/>
      <c r="N15" s="62"/>
      <c r="O15" s="62"/>
      <c r="P15" s="70"/>
      <c r="Q15" s="62"/>
      <c r="R15" s="62"/>
      <c r="S15" s="62"/>
      <c r="T15" s="62"/>
      <c r="U15" s="62"/>
      <c r="V15" s="62"/>
      <c r="W15" s="62"/>
      <c r="X15" s="62"/>
      <c r="Y15" s="62"/>
      <c r="Z15" s="62"/>
      <c r="AA15" s="62"/>
      <c r="AB15" s="62"/>
      <c r="AC15" s="62"/>
      <c r="AD15" s="62"/>
      <c r="AE15" s="62"/>
      <c r="AF15" s="62"/>
      <c r="AG15" s="62"/>
    </row>
    <row r="16" spans="1:33" s="65" customFormat="1" ht="18" customHeight="1">
      <c r="A16" s="67" t="s">
        <v>708</v>
      </c>
      <c r="B16" s="62"/>
      <c r="C16" s="62"/>
      <c r="D16" s="62"/>
      <c r="E16" s="62"/>
      <c r="F16" s="62"/>
      <c r="G16" s="62"/>
      <c r="H16" s="62"/>
      <c r="I16" s="62"/>
      <c r="J16" s="62"/>
      <c r="K16" s="62"/>
      <c r="L16" s="62"/>
      <c r="M16" s="62"/>
      <c r="N16" s="62"/>
      <c r="O16" s="62"/>
      <c r="P16" s="70"/>
      <c r="Q16" s="62"/>
      <c r="R16" s="62"/>
      <c r="S16" s="62"/>
      <c r="T16" s="62"/>
      <c r="U16" s="62"/>
      <c r="V16" s="62"/>
      <c r="W16" s="62"/>
      <c r="X16" s="62"/>
      <c r="Y16" s="62"/>
      <c r="Z16" s="62"/>
      <c r="AA16" s="62"/>
      <c r="AB16" s="62"/>
      <c r="AC16" s="62"/>
      <c r="AD16" s="62"/>
      <c r="AE16" s="62"/>
      <c r="AF16" s="62"/>
      <c r="AG16" s="62"/>
    </row>
    <row r="17" spans="1:33" s="65" customFormat="1" ht="18" customHeight="1">
      <c r="A17" s="62"/>
      <c r="B17" s="852" t="s">
        <v>709</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row>
    <row r="18" spans="1:33" s="65" customFormat="1" ht="18" customHeight="1">
      <c r="A18" s="62"/>
      <c r="B18" s="852"/>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row>
    <row r="19" spans="1:33" s="65" customFormat="1" ht="18" customHeight="1">
      <c r="A19" s="62"/>
      <c r="B19" s="894" t="s">
        <v>710</v>
      </c>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row>
    <row r="20" spans="1:33" s="65" customFormat="1" ht="18"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row>
    <row r="21" spans="1:33" s="65" customFormat="1" ht="18" customHeight="1">
      <c r="A21" s="67" t="s">
        <v>711</v>
      </c>
      <c r="B21" s="62"/>
      <c r="C21" s="62"/>
      <c r="D21" s="62"/>
      <c r="E21" s="62"/>
      <c r="F21" s="62"/>
      <c r="G21" s="62"/>
      <c r="H21" s="62"/>
      <c r="I21" s="62"/>
      <c r="J21" s="62"/>
      <c r="K21" s="62"/>
      <c r="L21" s="62"/>
      <c r="M21" s="62"/>
      <c r="N21" s="62"/>
      <c r="O21" s="62"/>
      <c r="P21" s="70"/>
      <c r="Q21" s="62"/>
      <c r="R21" s="62"/>
      <c r="S21" s="62"/>
      <c r="T21" s="62"/>
      <c r="U21" s="62"/>
      <c r="V21" s="62"/>
      <c r="W21" s="62"/>
      <c r="X21" s="62"/>
      <c r="Y21" s="62"/>
      <c r="Z21" s="62"/>
      <c r="AA21" s="62"/>
      <c r="AB21" s="62"/>
      <c r="AC21" s="62"/>
      <c r="AD21" s="62"/>
      <c r="AE21" s="62"/>
      <c r="AF21" s="62"/>
      <c r="AG21" s="62"/>
    </row>
    <row r="22" spans="1:33" s="65" customFormat="1" ht="18" customHeight="1">
      <c r="A22" s="62"/>
      <c r="B22" s="852" t="s">
        <v>712</v>
      </c>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row>
    <row r="23" spans="1:33" s="65" customFormat="1" ht="18" customHeight="1">
      <c r="A23" s="62"/>
      <c r="B23" s="852"/>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row>
    <row r="24" spans="1:33" s="65" customFormat="1" ht="18" customHeight="1">
      <c r="A24" s="62"/>
      <c r="B24" s="62"/>
      <c r="C24" s="62"/>
      <c r="D24" s="62"/>
      <c r="E24" s="62"/>
      <c r="F24" s="62"/>
      <c r="G24" s="62"/>
      <c r="H24" s="62"/>
      <c r="I24" s="62"/>
      <c r="J24" s="62"/>
      <c r="K24" s="62"/>
      <c r="L24" s="62"/>
      <c r="M24" s="62"/>
      <c r="N24" s="62"/>
      <c r="O24" s="62"/>
      <c r="P24" s="70"/>
      <c r="Q24" s="62"/>
      <c r="R24" s="62"/>
      <c r="S24" s="62"/>
      <c r="T24" s="62"/>
      <c r="U24" s="62"/>
      <c r="V24" s="62"/>
      <c r="W24" s="62"/>
      <c r="X24" s="62"/>
      <c r="Y24" s="62"/>
      <c r="Z24" s="62"/>
      <c r="AA24" s="62"/>
      <c r="AB24" s="62"/>
      <c r="AC24" s="62"/>
      <c r="AD24" s="62"/>
      <c r="AE24" s="62"/>
      <c r="AF24" s="62"/>
      <c r="AG24" s="62"/>
    </row>
    <row r="25" spans="1:33" s="65" customFormat="1" ht="18" customHeight="1">
      <c r="A25" s="67" t="s">
        <v>713</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s="65" customFormat="1" ht="18" customHeight="1">
      <c r="A26" s="62"/>
      <c r="B26" s="1560" t="s">
        <v>714</v>
      </c>
      <c r="C26" s="1560"/>
      <c r="D26" s="1560"/>
      <c r="E26" s="1560"/>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row>
    <row r="27" spans="1:33" s="65" customFormat="1" ht="18" customHeight="1">
      <c r="A27" s="62"/>
      <c r="B27" s="1560"/>
      <c r="C27" s="1560"/>
      <c r="D27" s="1560"/>
      <c r="E27" s="1560"/>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row>
    <row r="28" spans="1:33" s="65" customFormat="1" ht="18" customHeight="1">
      <c r="A28" s="62"/>
      <c r="B28" s="62"/>
      <c r="C28" s="62"/>
      <c r="D28" s="62"/>
      <c r="E28" s="62"/>
      <c r="F28" s="62"/>
      <c r="G28" s="62"/>
      <c r="H28" s="62"/>
      <c r="I28" s="62"/>
      <c r="J28" s="62"/>
      <c r="K28" s="62"/>
      <c r="L28" s="62"/>
      <c r="M28" s="62"/>
      <c r="N28" s="62"/>
      <c r="O28" s="62"/>
      <c r="P28" s="70"/>
      <c r="Q28" s="62"/>
      <c r="R28" s="62"/>
      <c r="S28" s="62"/>
      <c r="T28" s="62"/>
      <c r="U28" s="62"/>
      <c r="V28" s="62"/>
      <c r="W28" s="62"/>
      <c r="X28" s="62"/>
      <c r="Y28" s="62"/>
      <c r="Z28" s="62"/>
      <c r="AA28" s="62"/>
      <c r="AB28" s="62"/>
      <c r="AC28" s="62"/>
      <c r="AD28" s="62"/>
      <c r="AE28" s="62"/>
      <c r="AF28" s="62"/>
      <c r="AG28" s="62"/>
    </row>
    <row r="29" spans="1:33" s="65" customFormat="1" ht="18"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1:33" s="65" customFormat="1" ht="18" customHeight="1">
      <c r="A30" s="62" t="s">
        <v>715</v>
      </c>
      <c r="B30" s="62"/>
      <c r="C30" s="62"/>
      <c r="D30" s="62"/>
      <c r="E30" s="62"/>
      <c r="F30" s="62"/>
      <c r="G30" s="62"/>
      <c r="H30" s="62"/>
      <c r="I30" s="62"/>
      <c r="J30" s="62"/>
      <c r="K30" s="62"/>
      <c r="L30" s="62"/>
      <c r="M30" s="62"/>
      <c r="N30" s="62"/>
      <c r="O30" s="62"/>
      <c r="P30" s="70"/>
      <c r="Q30" s="62"/>
      <c r="R30" s="62"/>
      <c r="S30" s="62"/>
      <c r="T30" s="62"/>
      <c r="U30" s="62"/>
      <c r="V30" s="62"/>
      <c r="W30" s="62"/>
      <c r="X30" s="62"/>
      <c r="Y30" s="62"/>
      <c r="Z30" s="62"/>
      <c r="AA30" s="62"/>
      <c r="AB30" s="62"/>
      <c r="AC30" s="62"/>
      <c r="AD30" s="62"/>
      <c r="AE30" s="62"/>
      <c r="AF30" s="62"/>
      <c r="AG30" s="62"/>
    </row>
    <row r="31" spans="1:33" s="65" customFormat="1" ht="54" customHeight="1">
      <c r="A31" s="62"/>
      <c r="B31" s="1451" t="s">
        <v>675</v>
      </c>
      <c r="C31" s="1451"/>
      <c r="D31" s="1451"/>
      <c r="E31" s="1451" t="s">
        <v>716</v>
      </c>
      <c r="F31" s="1451"/>
      <c r="G31" s="1451"/>
      <c r="H31" s="1451" t="s">
        <v>641</v>
      </c>
      <c r="I31" s="1451"/>
      <c r="J31" s="1451"/>
      <c r="K31" s="1092" t="s">
        <v>717</v>
      </c>
      <c r="L31" s="1451"/>
      <c r="M31" s="1451"/>
      <c r="N31" s="1451" t="s">
        <v>718</v>
      </c>
      <c r="O31" s="1451"/>
      <c r="P31" s="1451"/>
      <c r="Q31" s="1092" t="s">
        <v>719</v>
      </c>
      <c r="R31" s="1451"/>
      <c r="S31" s="1451"/>
      <c r="T31" s="1451" t="s">
        <v>720</v>
      </c>
      <c r="U31" s="1451"/>
      <c r="V31" s="1451"/>
      <c r="W31" s="1092" t="s">
        <v>721</v>
      </c>
      <c r="X31" s="1451"/>
      <c r="Y31" s="1451"/>
      <c r="Z31" s="1092" t="s">
        <v>722</v>
      </c>
      <c r="AA31" s="1451"/>
      <c r="AB31" s="1451"/>
      <c r="AC31" s="1092" t="s">
        <v>723</v>
      </c>
      <c r="AD31" s="1451"/>
      <c r="AE31" s="1451"/>
      <c r="AF31" s="62"/>
      <c r="AG31" s="62"/>
    </row>
    <row r="32" spans="1:33" s="65" customFormat="1" ht="54" customHeight="1">
      <c r="A32" s="62"/>
      <c r="B32" s="1561"/>
      <c r="C32" s="1561"/>
      <c r="D32" s="1561"/>
      <c r="E32" s="1561"/>
      <c r="F32" s="1561"/>
      <c r="G32" s="1561"/>
      <c r="H32" s="1561"/>
      <c r="I32" s="1561"/>
      <c r="J32" s="1561"/>
      <c r="K32" s="1561"/>
      <c r="L32" s="1561"/>
      <c r="M32" s="1561"/>
      <c r="N32" s="1561"/>
      <c r="O32" s="1561"/>
      <c r="P32" s="1561"/>
      <c r="Q32" s="1562" t="s">
        <v>724</v>
      </c>
      <c r="R32" s="1562"/>
      <c r="S32" s="1562"/>
      <c r="T32" s="1562" t="s">
        <v>725</v>
      </c>
      <c r="U32" s="1562"/>
      <c r="V32" s="1562"/>
      <c r="W32" s="1561"/>
      <c r="X32" s="1561"/>
      <c r="Y32" s="1561"/>
      <c r="Z32" s="1561"/>
      <c r="AA32" s="1561"/>
      <c r="AB32" s="1561"/>
      <c r="AC32" s="1561"/>
      <c r="AD32" s="1561"/>
      <c r="AE32" s="1561"/>
      <c r="AF32" s="62"/>
      <c r="AG32" s="62"/>
    </row>
    <row r="33" spans="1:33" s="65" customFormat="1" ht="54" customHeight="1">
      <c r="A33" s="62"/>
      <c r="B33" s="1563"/>
      <c r="C33" s="1563"/>
      <c r="D33" s="1563"/>
      <c r="E33" s="1563"/>
      <c r="F33" s="1563"/>
      <c r="G33" s="1563"/>
      <c r="H33" s="1563"/>
      <c r="I33" s="1563"/>
      <c r="J33" s="1563"/>
      <c r="K33" s="1563"/>
      <c r="L33" s="1563"/>
      <c r="M33" s="1563"/>
      <c r="N33" s="1563"/>
      <c r="O33" s="1563"/>
      <c r="P33" s="1563"/>
      <c r="Q33" s="1563"/>
      <c r="R33" s="1563"/>
      <c r="S33" s="1563"/>
      <c r="T33" s="1564" t="s">
        <v>726</v>
      </c>
      <c r="U33" s="1564"/>
      <c r="V33" s="1564"/>
      <c r="W33" s="1563"/>
      <c r="X33" s="1563"/>
      <c r="Y33" s="1563"/>
      <c r="Z33" s="1563"/>
      <c r="AA33" s="1563"/>
      <c r="AB33" s="1563"/>
      <c r="AC33" s="1563"/>
      <c r="AD33" s="1563"/>
      <c r="AE33" s="1563"/>
      <c r="AF33" s="62"/>
      <c r="AG33" s="62"/>
    </row>
    <row r="34" spans="1:33" s="65" customFormat="1" ht="72" customHeight="1">
      <c r="A34" s="62"/>
      <c r="B34" s="1565"/>
      <c r="C34" s="1565"/>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62"/>
      <c r="AG34" s="62"/>
    </row>
    <row r="35" spans="1:33" s="65" customFormat="1" ht="18" customHeight="1">
      <c r="A35" s="62"/>
      <c r="B35" s="1566" t="s">
        <v>727</v>
      </c>
      <c r="C35" s="1566"/>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566"/>
      <c r="AF35" s="62"/>
      <c r="AG35" s="62"/>
    </row>
    <row r="36" spans="1:33" s="65" customFormat="1" ht="18"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row>
    <row r="37" spans="1:33" s="65" customFormat="1" ht="18"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row>
    <row r="38" spans="1:33" s="65" customFormat="1" ht="18"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row>
    <row r="39" spans="1:33" s="65" customFormat="1" ht="18"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3" s="65" customFormat="1" ht="18"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row>
    <row r="41" spans="1:33" s="65" customFormat="1" ht="18"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row>
    <row r="42" spans="1:33" s="65" customFormat="1" ht="18"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row>
    <row r="43" spans="1:33" s="65" customFormat="1" ht="18"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row>
    <row r="44" spans="1:33" s="65" customFormat="1" ht="24" customHeight="1"/>
    <row r="45" spans="1:33" s="65" customFormat="1" ht="24" customHeight="1"/>
    <row r="46" spans="1:33" s="65" customFormat="1" ht="24" customHeight="1"/>
    <row r="47" spans="1:33" s="65" customFormat="1" ht="24" customHeight="1"/>
    <row r="48" spans="1:33" s="65" customFormat="1" ht="24" customHeight="1"/>
    <row r="49" s="65" customFormat="1" ht="24" customHeight="1"/>
    <row r="50" s="65" customFormat="1" ht="15.6" customHeight="1"/>
    <row r="51" s="65" customFormat="1" ht="15.6" customHeight="1"/>
    <row r="52" s="65" customFormat="1" ht="15.6" customHeight="1"/>
    <row r="53" s="65" customFormat="1" ht="15.6" customHeight="1"/>
    <row r="54" s="65" customFormat="1" ht="24" customHeight="1"/>
    <row r="55" s="65" customFormat="1" ht="24" customHeight="1"/>
    <row r="56" s="65" customFormat="1" ht="15.6" customHeight="1"/>
    <row r="57" s="65" customFormat="1" ht="15.6" customHeight="1"/>
    <row r="58" s="65" customFormat="1" ht="46.5" customHeight="1"/>
    <row r="59" s="65" customFormat="1" ht="15.6" customHeight="1"/>
    <row r="60" s="65" customFormat="1" ht="15.6" customHeight="1"/>
    <row r="61" s="65" customFormat="1" ht="15.6" customHeight="1"/>
    <row r="62" s="65" customFormat="1" ht="15.6" customHeight="1"/>
    <row r="63" s="65" customFormat="1" ht="15.6" customHeight="1"/>
    <row r="64" s="65" customFormat="1" ht="15.6" customHeight="1"/>
    <row r="65" s="65" customFormat="1" ht="15.6" customHeight="1"/>
    <row r="66" s="65" customFormat="1" ht="15.6" customHeight="1"/>
    <row r="67" s="65" customFormat="1" ht="15.6" customHeight="1"/>
    <row r="68" s="65" customFormat="1" ht="15.6" customHeight="1"/>
    <row r="69" s="65" customFormat="1" ht="15.6" customHeight="1"/>
    <row r="70" s="65" customFormat="1" ht="15.6" customHeight="1"/>
    <row r="71" s="65" customFormat="1" ht="24" customHeight="1"/>
    <row r="72" s="65" customFormat="1" ht="72" customHeight="1"/>
    <row r="73" s="65" customFormat="1" ht="15.6" customHeight="1"/>
    <row r="74" s="65" customFormat="1" ht="15.6" customHeight="1"/>
    <row r="75" s="65" customFormat="1" ht="15.6" customHeight="1"/>
    <row r="76" s="65" customFormat="1" ht="15.6" customHeight="1"/>
    <row r="77" s="65" customFormat="1" ht="15.6" customHeight="1"/>
    <row r="78" s="65" customFormat="1" ht="15.6" customHeight="1"/>
    <row r="79" s="65" customFormat="1" ht="13.5" customHeight="1"/>
    <row r="80" s="65" customFormat="1" ht="54" customHeight="1"/>
    <row r="81" spans="1:33" s="65" customFormat="1" ht="36" customHeight="1"/>
    <row r="82" spans="1:33" s="70" customFormat="1" ht="36"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row>
    <row r="83" spans="1:33" s="65" customFormat="1"/>
    <row r="84" spans="1:33" s="65" customFormat="1" ht="13.5" customHeight="1"/>
    <row r="85" spans="1:33" s="65" customFormat="1" ht="13.5" customHeight="1"/>
    <row r="86" spans="1:33" s="65" customFormat="1" ht="13.5" customHeight="1"/>
    <row r="87" spans="1:33" s="65" customFormat="1" ht="13.5" customHeight="1"/>
    <row r="88" spans="1:33" s="65" customFormat="1" ht="13.5" customHeight="1"/>
    <row r="89" spans="1:33" s="65" customFormat="1" ht="13.5" customHeight="1"/>
    <row r="90" spans="1:33" s="65" customFormat="1" ht="13.5" customHeight="1"/>
    <row r="91" spans="1:33" s="65" customFormat="1" ht="13.5" customHeight="1"/>
    <row r="92" spans="1:33" s="65" customFormat="1" ht="27" customHeight="1"/>
    <row r="93" spans="1:33" s="65" customFormat="1" ht="13.5" customHeight="1"/>
    <row r="94" spans="1:33" s="65" customFormat="1" ht="13.5" customHeight="1"/>
    <row r="95" spans="1:33" s="65" customFormat="1" ht="13.5" customHeight="1"/>
    <row r="96" spans="1:33" s="65" customFormat="1" ht="13.5" customHeight="1"/>
    <row r="97" s="65" customFormat="1" ht="13.5" customHeight="1"/>
    <row r="98" s="65" customFormat="1"/>
    <row r="99" s="65" customFormat="1" ht="13.5" customHeight="1"/>
    <row r="100" s="65" customFormat="1" ht="13.5" customHeight="1"/>
    <row r="101" s="65" customFormat="1" ht="13.5" customHeight="1"/>
    <row r="102" s="65" customFormat="1" ht="13.5" customHeight="1"/>
    <row r="103" s="65" customFormat="1" ht="13.5" customHeight="1"/>
    <row r="104" s="65" customFormat="1" ht="13.5" customHeight="1"/>
    <row r="105" s="65" customFormat="1" ht="13.5" customHeight="1"/>
    <row r="106" s="65" customFormat="1" ht="13.5" customHeight="1"/>
    <row r="107" s="65" customFormat="1" ht="13.5" customHeight="1"/>
    <row r="108" s="65" customFormat="1" ht="13.5" customHeight="1"/>
    <row r="109" s="65" customFormat="1" ht="13.5" customHeight="1"/>
    <row r="110" s="65" customFormat="1" ht="13.5" customHeight="1"/>
    <row r="111" s="65" customFormat="1" ht="27" customHeight="1"/>
    <row r="112" s="65" customFormat="1" ht="13.5" customHeight="1"/>
    <row r="113" s="65" customFormat="1" ht="27" customHeight="1"/>
    <row r="114" s="65" customFormat="1" ht="13.5" customHeight="1"/>
    <row r="115" s="65" customFormat="1" ht="13.5" customHeight="1"/>
    <row r="116" s="65" customFormat="1" ht="13.5" customHeight="1"/>
    <row r="117" s="65" customFormat="1" ht="13.5" customHeight="1"/>
    <row r="118" s="65" customFormat="1" ht="13.5" customHeight="1"/>
    <row r="119" s="65" customFormat="1" ht="13.5" customHeight="1"/>
    <row r="120" s="65" customFormat="1" ht="13.5" customHeight="1"/>
    <row r="121" s="65" customFormat="1" ht="13.5" customHeight="1"/>
    <row r="122" s="65" customFormat="1" ht="13.5" customHeight="1"/>
    <row r="123" s="65" customFormat="1" ht="27" customHeight="1"/>
    <row r="124" s="65" customFormat="1" ht="27" customHeight="1"/>
    <row r="127" s="65" customFormat="1"/>
    <row r="128" s="65" customFormat="1"/>
    <row r="145" s="65" customFormat="1" ht="40.5" customHeight="1"/>
    <row r="173" s="65" customFormat="1" ht="13.5" customHeight="1"/>
    <row r="188" s="65" customFormat="1" ht="13.5" customHeight="1"/>
    <row r="197" s="65" customFormat="1" ht="40.5" customHeight="1"/>
    <row r="198" s="65"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heetViews>
  <sheetFormatPr defaultRowHeight="13.5"/>
  <cols>
    <col min="1" max="1" width="2.625" customWidth="1"/>
    <col min="2" max="2" width="3.625" style="412" customWidth="1"/>
    <col min="3" max="3" width="10.625" style="412" customWidth="1"/>
    <col min="4" max="4" width="45.625" customWidth="1"/>
    <col min="5" max="5" width="10.625" style="41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4" t="s">
        <v>728</v>
      </c>
    </row>
    <row r="3" spans="1:10" ht="21">
      <c r="A3" s="413"/>
      <c r="D3" s="1567" t="s">
        <v>729</v>
      </c>
      <c r="E3" s="1567"/>
      <c r="F3" s="1567"/>
      <c r="G3" s="1567"/>
      <c r="H3" s="1567"/>
      <c r="I3" s="1567"/>
    </row>
    <row r="5" spans="1:10" ht="12.95" customHeight="1">
      <c r="B5" s="1575"/>
      <c r="C5" s="1577" t="s">
        <v>730</v>
      </c>
      <c r="D5" s="1579" t="s">
        <v>731</v>
      </c>
      <c r="E5" s="1577" t="s">
        <v>732</v>
      </c>
      <c r="G5" s="892"/>
      <c r="H5" s="1572" t="s">
        <v>730</v>
      </c>
      <c r="I5" s="1573" t="s">
        <v>733</v>
      </c>
      <c r="J5" s="1572" t="s">
        <v>732</v>
      </c>
    </row>
    <row r="6" spans="1:10" ht="12.95" customHeight="1">
      <c r="B6" s="1576"/>
      <c r="C6" s="1578"/>
      <c r="D6" s="1580"/>
      <c r="E6" s="1578"/>
      <c r="G6" s="892"/>
      <c r="H6" s="1572"/>
      <c r="I6" s="1573"/>
      <c r="J6" s="1572"/>
    </row>
    <row r="7" spans="1:10" ht="12.95" customHeight="1">
      <c r="B7" s="1575" t="s">
        <v>734</v>
      </c>
      <c r="C7" s="1581" t="s">
        <v>187</v>
      </c>
      <c r="D7" s="1584" t="s">
        <v>735</v>
      </c>
      <c r="E7" s="1581" t="s">
        <v>187</v>
      </c>
      <c r="G7" s="892"/>
      <c r="H7" s="1572"/>
      <c r="I7" s="1573"/>
      <c r="J7" s="1572"/>
    </row>
    <row r="8" spans="1:10" ht="12.95" customHeight="1">
      <c r="B8" s="887"/>
      <c r="C8" s="1582"/>
      <c r="D8" s="1585"/>
      <c r="E8" s="1582"/>
      <c r="G8" s="892" t="s">
        <v>736</v>
      </c>
      <c r="H8" s="1569" t="s">
        <v>187</v>
      </c>
      <c r="I8" s="1571" t="s">
        <v>737</v>
      </c>
      <c r="J8" s="1569" t="s">
        <v>187</v>
      </c>
    </row>
    <row r="9" spans="1:10" ht="12.95" customHeight="1">
      <c r="B9" s="887"/>
      <c r="C9" s="1582"/>
      <c r="D9" s="1585"/>
      <c r="E9" s="1582"/>
      <c r="G9" s="892"/>
      <c r="H9" s="1569"/>
      <c r="I9" s="1571"/>
      <c r="J9" s="1569"/>
    </row>
    <row r="10" spans="1:10" ht="12.95" customHeight="1">
      <c r="B10" s="1576"/>
      <c r="C10" s="1583"/>
      <c r="D10" s="1586"/>
      <c r="E10" s="1583"/>
      <c r="G10" s="892"/>
      <c r="H10" s="1569"/>
      <c r="I10" s="1571"/>
      <c r="J10" s="1569"/>
    </row>
    <row r="11" spans="1:10" ht="12.95" customHeight="1">
      <c r="B11" s="892" t="s">
        <v>738</v>
      </c>
      <c r="C11" s="1569" t="s">
        <v>187</v>
      </c>
      <c r="D11" s="1570" t="s">
        <v>739</v>
      </c>
      <c r="E11" s="1569" t="s">
        <v>187</v>
      </c>
      <c r="I11" s="414"/>
    </row>
    <row r="12" spans="1:10" ht="12.95" customHeight="1">
      <c r="B12" s="892"/>
      <c r="C12" s="1569"/>
      <c r="D12" s="1570"/>
      <c r="E12" s="1569"/>
      <c r="G12" s="1575"/>
      <c r="H12" s="1577" t="s">
        <v>730</v>
      </c>
      <c r="I12" s="1579" t="s">
        <v>740</v>
      </c>
      <c r="J12" s="1577" t="s">
        <v>732</v>
      </c>
    </row>
    <row r="13" spans="1:10" ht="12.95" customHeight="1">
      <c r="B13" s="892"/>
      <c r="C13" s="1569"/>
      <c r="D13" s="1570"/>
      <c r="E13" s="1569"/>
      <c r="G13" s="1576"/>
      <c r="H13" s="1578"/>
      <c r="I13" s="1580"/>
      <c r="J13" s="1578"/>
    </row>
    <row r="14" spans="1:10" ht="12.95" customHeight="1">
      <c r="B14" s="892"/>
      <c r="C14" s="1569"/>
      <c r="D14" s="1570"/>
      <c r="E14" s="1569"/>
      <c r="G14" s="1575" t="s">
        <v>741</v>
      </c>
      <c r="H14" s="1581" t="s">
        <v>187</v>
      </c>
      <c r="I14" s="1584" t="s">
        <v>742</v>
      </c>
      <c r="J14" s="1581" t="s">
        <v>187</v>
      </c>
    </row>
    <row r="15" spans="1:10" ht="12.95" customHeight="1">
      <c r="C15" s="415"/>
      <c r="D15" s="414"/>
      <c r="E15" s="415"/>
      <c r="G15" s="887"/>
      <c r="H15" s="1582"/>
      <c r="I15" s="1585"/>
      <c r="J15" s="1582"/>
    </row>
    <row r="16" spans="1:10" ht="12.95" customHeight="1">
      <c r="B16" s="1575"/>
      <c r="C16" s="1577" t="s">
        <v>730</v>
      </c>
      <c r="D16" s="1579" t="s">
        <v>743</v>
      </c>
      <c r="E16" s="1577" t="s">
        <v>732</v>
      </c>
      <c r="G16" s="887"/>
      <c r="H16" s="1582"/>
      <c r="I16" s="1585"/>
      <c r="J16" s="1582"/>
    </row>
    <row r="17" spans="2:10" ht="12.95" customHeight="1">
      <c r="B17" s="1576"/>
      <c r="C17" s="1578"/>
      <c r="D17" s="1580"/>
      <c r="E17" s="1578"/>
      <c r="G17" s="1576"/>
      <c r="H17" s="1583"/>
      <c r="I17" s="1586"/>
      <c r="J17" s="1583"/>
    </row>
    <row r="18" spans="2:10" ht="12.95" customHeight="1">
      <c r="B18" s="1575" t="s">
        <v>744</v>
      </c>
      <c r="C18" s="1581" t="s">
        <v>187</v>
      </c>
      <c r="D18" s="1584" t="s">
        <v>742</v>
      </c>
      <c r="E18" s="1581" t="s">
        <v>187</v>
      </c>
      <c r="G18" s="892" t="s">
        <v>745</v>
      </c>
      <c r="H18" s="1569" t="s">
        <v>187</v>
      </c>
      <c r="I18" s="1570" t="s">
        <v>746</v>
      </c>
      <c r="J18" s="1569" t="s">
        <v>187</v>
      </c>
    </row>
    <row r="19" spans="2:10" ht="12.95" customHeight="1">
      <c r="B19" s="887"/>
      <c r="C19" s="1582"/>
      <c r="D19" s="1585"/>
      <c r="E19" s="1582"/>
      <c r="G19" s="892"/>
      <c r="H19" s="1569"/>
      <c r="I19" s="1570"/>
      <c r="J19" s="1569"/>
    </row>
    <row r="20" spans="2:10" ht="12.95" customHeight="1">
      <c r="B20" s="887"/>
      <c r="C20" s="1582"/>
      <c r="D20" s="1585"/>
      <c r="E20" s="1582"/>
      <c r="G20" s="892"/>
      <c r="H20" s="1569"/>
      <c r="I20" s="1570"/>
      <c r="J20" s="1569"/>
    </row>
    <row r="21" spans="2:10" ht="12.95" customHeight="1">
      <c r="B21" s="1576"/>
      <c r="C21" s="1583"/>
      <c r="D21" s="1586"/>
      <c r="E21" s="1583"/>
      <c r="G21" s="892"/>
      <c r="H21" s="1569"/>
      <c r="I21" s="1570"/>
      <c r="J21" s="1569"/>
    </row>
    <row r="22" spans="2:10" ht="12.95" customHeight="1">
      <c r="B22" s="892" t="s">
        <v>747</v>
      </c>
      <c r="C22" s="1569" t="s">
        <v>187</v>
      </c>
      <c r="D22" s="1570" t="s">
        <v>746</v>
      </c>
      <c r="E22" s="1569" t="s">
        <v>187</v>
      </c>
      <c r="G22" s="892" t="s">
        <v>748</v>
      </c>
      <c r="H22" s="1569" t="s">
        <v>187</v>
      </c>
      <c r="I22" s="1570" t="s">
        <v>749</v>
      </c>
      <c r="J22" s="1569" t="s">
        <v>187</v>
      </c>
    </row>
    <row r="23" spans="2:10" ht="12.95" customHeight="1">
      <c r="B23" s="892"/>
      <c r="C23" s="1569"/>
      <c r="D23" s="1570"/>
      <c r="E23" s="1569"/>
      <c r="G23" s="892"/>
      <c r="H23" s="1569"/>
      <c r="I23" s="1570"/>
      <c r="J23" s="1569"/>
    </row>
    <row r="24" spans="2:10" ht="12.95" customHeight="1">
      <c r="B24" s="892"/>
      <c r="C24" s="1569"/>
      <c r="D24" s="1570"/>
      <c r="E24" s="1569"/>
      <c r="G24" s="892"/>
      <c r="H24" s="1569"/>
      <c r="I24" s="1570"/>
      <c r="J24" s="1569"/>
    </row>
    <row r="25" spans="2:10" ht="12.95" customHeight="1">
      <c r="B25" s="892"/>
      <c r="C25" s="1569"/>
      <c r="D25" s="1570"/>
      <c r="E25" s="1569"/>
      <c r="G25" s="892"/>
      <c r="H25" s="1569"/>
      <c r="I25" s="1570"/>
      <c r="J25" s="1569"/>
    </row>
    <row r="26" spans="2:10" ht="12.95" customHeight="1">
      <c r="C26" s="415"/>
      <c r="D26" s="414"/>
      <c r="E26" s="415"/>
      <c r="G26" s="892"/>
      <c r="H26" s="1569"/>
      <c r="I26" s="1570"/>
      <c r="J26" s="1569"/>
    </row>
    <row r="27" spans="2:10" ht="12.95" customHeight="1">
      <c r="B27" s="1575"/>
      <c r="C27" s="1577" t="s">
        <v>730</v>
      </c>
      <c r="D27" s="1579" t="s">
        <v>750</v>
      </c>
      <c r="E27" s="1577" t="s">
        <v>732</v>
      </c>
    </row>
    <row r="28" spans="2:10" ht="12.95" customHeight="1">
      <c r="B28" s="1576"/>
      <c r="C28" s="1578"/>
      <c r="D28" s="1580"/>
      <c r="E28" s="1578"/>
      <c r="G28" s="892"/>
      <c r="H28" s="1572" t="s">
        <v>730</v>
      </c>
      <c r="I28" s="1573" t="s">
        <v>751</v>
      </c>
      <c r="J28" s="1572" t="s">
        <v>732</v>
      </c>
    </row>
    <row r="29" spans="2:10" ht="12.95" customHeight="1">
      <c r="B29" s="1575" t="s">
        <v>752</v>
      </c>
      <c r="C29" s="1581" t="s">
        <v>187</v>
      </c>
      <c r="D29" s="1584" t="s">
        <v>753</v>
      </c>
      <c r="E29" s="1581" t="s">
        <v>187</v>
      </c>
      <c r="G29" s="892"/>
      <c r="H29" s="1572"/>
      <c r="I29" s="1573"/>
      <c r="J29" s="1572"/>
    </row>
    <row r="30" spans="2:10" ht="12.95" customHeight="1">
      <c r="B30" s="887"/>
      <c r="C30" s="1582"/>
      <c r="D30" s="1585"/>
      <c r="E30" s="1582"/>
      <c r="G30" s="892" t="s">
        <v>754</v>
      </c>
      <c r="H30" s="1569" t="s">
        <v>187</v>
      </c>
      <c r="I30" s="1571" t="s">
        <v>755</v>
      </c>
      <c r="J30" s="1569" t="s">
        <v>187</v>
      </c>
    </row>
    <row r="31" spans="2:10" ht="12.95" customHeight="1">
      <c r="B31" s="887"/>
      <c r="C31" s="1582"/>
      <c r="D31" s="1585"/>
      <c r="E31" s="1582"/>
      <c r="G31" s="892"/>
      <c r="H31" s="1569"/>
      <c r="I31" s="1571"/>
      <c r="J31" s="1569"/>
    </row>
    <row r="32" spans="2:10" ht="12.95" customHeight="1">
      <c r="B32" s="887"/>
      <c r="C32" s="1582"/>
      <c r="D32" s="1585"/>
      <c r="E32" s="1582"/>
      <c r="G32" s="892"/>
      <c r="H32" s="1569"/>
      <c r="I32" s="1571"/>
      <c r="J32" s="1569"/>
    </row>
    <row r="33" spans="2:10" ht="12.95" customHeight="1">
      <c r="B33" s="1576"/>
      <c r="C33" s="1583"/>
      <c r="D33" s="1586"/>
      <c r="E33" s="1583"/>
      <c r="G33" s="892" t="s">
        <v>756</v>
      </c>
      <c r="H33" s="1569" t="s">
        <v>187</v>
      </c>
      <c r="I33" s="1574" t="s">
        <v>757</v>
      </c>
      <c r="J33" s="1569" t="s">
        <v>187</v>
      </c>
    </row>
    <row r="34" spans="2:10" ht="12.95" customHeight="1">
      <c r="B34" s="892" t="s">
        <v>758</v>
      </c>
      <c r="C34" s="1569" t="s">
        <v>187</v>
      </c>
      <c r="D34" s="1570" t="s">
        <v>759</v>
      </c>
      <c r="E34" s="1569" t="s">
        <v>187</v>
      </c>
      <c r="G34" s="892"/>
      <c r="H34" s="1569"/>
      <c r="I34" s="1574"/>
      <c r="J34" s="1569"/>
    </row>
    <row r="35" spans="2:10" ht="12.95" customHeight="1">
      <c r="B35" s="892"/>
      <c r="C35" s="1569"/>
      <c r="D35" s="1570"/>
      <c r="E35" s="1569"/>
      <c r="G35" s="892" t="s">
        <v>760</v>
      </c>
      <c r="H35" s="1569" t="s">
        <v>187</v>
      </c>
      <c r="I35" s="1570" t="s">
        <v>761</v>
      </c>
      <c r="J35" s="1569" t="s">
        <v>187</v>
      </c>
    </row>
    <row r="36" spans="2:10" ht="12.95" customHeight="1">
      <c r="B36" s="892"/>
      <c r="C36" s="1569"/>
      <c r="D36" s="1570"/>
      <c r="E36" s="1569"/>
      <c r="G36" s="892"/>
      <c r="H36" s="1569"/>
      <c r="I36" s="1570"/>
      <c r="J36" s="1569"/>
    </row>
    <row r="37" spans="2:10" ht="12.95" customHeight="1">
      <c r="B37" s="892"/>
      <c r="C37" s="1569"/>
      <c r="D37" s="1570"/>
      <c r="E37" s="1569"/>
      <c r="G37" s="892"/>
      <c r="H37" s="1569"/>
      <c r="I37" s="1570"/>
      <c r="J37" s="1569"/>
    </row>
    <row r="38" spans="2:10" ht="12.95" customHeight="1">
      <c r="B38" s="892"/>
      <c r="C38" s="1569"/>
      <c r="D38" s="1570"/>
      <c r="E38" s="1569"/>
      <c r="G38" s="892"/>
      <c r="H38" s="1569"/>
      <c r="I38" s="1570"/>
      <c r="J38" s="1569"/>
    </row>
    <row r="39" spans="2:10" ht="12.95" customHeight="1">
      <c r="B39" s="892"/>
      <c r="C39" s="1569"/>
      <c r="D39" s="1570"/>
      <c r="E39" s="1569"/>
      <c r="G39" s="892" t="s">
        <v>762</v>
      </c>
      <c r="H39" s="1569" t="s">
        <v>187</v>
      </c>
      <c r="I39" s="1574" t="s">
        <v>763</v>
      </c>
      <c r="J39" s="1569" t="s">
        <v>187</v>
      </c>
    </row>
    <row r="40" spans="2:10" ht="12.95" customHeight="1">
      <c r="C40" s="415"/>
      <c r="D40" s="107"/>
      <c r="E40" s="415"/>
      <c r="G40" s="892"/>
      <c r="H40" s="1569"/>
      <c r="I40" s="1574"/>
      <c r="J40" s="1569"/>
    </row>
    <row r="41" spans="2:10" ht="12.95" customHeight="1">
      <c r="B41" s="892"/>
      <c r="C41" s="1572" t="s">
        <v>730</v>
      </c>
      <c r="D41" s="1573" t="s">
        <v>764</v>
      </c>
      <c r="E41" s="1572" t="s">
        <v>732</v>
      </c>
    </row>
    <row r="42" spans="2:10" ht="12.95" customHeight="1">
      <c r="B42" s="892"/>
      <c r="C42" s="1572"/>
      <c r="D42" s="1573"/>
      <c r="E42" s="1572"/>
    </row>
    <row r="43" spans="2:10" ht="12.95" customHeight="1">
      <c r="B43" s="892" t="s">
        <v>765</v>
      </c>
      <c r="C43" s="1569" t="s">
        <v>187</v>
      </c>
      <c r="D43" s="1571" t="s">
        <v>766</v>
      </c>
      <c r="E43" s="1569" t="s">
        <v>187</v>
      </c>
    </row>
    <row r="44" spans="2:10" ht="12.95" customHeight="1">
      <c r="B44" s="892"/>
      <c r="C44" s="1569"/>
      <c r="D44" s="1571"/>
      <c r="E44" s="1569"/>
    </row>
    <row r="45" spans="2:10" ht="12.95" customHeight="1">
      <c r="B45" s="892"/>
      <c r="C45" s="1569"/>
      <c r="D45" s="1571"/>
      <c r="E45" s="1569"/>
    </row>
    <row r="46" spans="2:10" ht="13.5" customHeight="1"/>
    <row r="47" spans="2:10">
      <c r="B47" s="1568" t="s">
        <v>767</v>
      </c>
      <c r="C47" s="1568"/>
      <c r="D47" s="1568"/>
      <c r="E47" s="1568"/>
      <c r="F47" s="1568"/>
      <c r="G47" s="1568"/>
      <c r="H47" s="1568"/>
      <c r="I47" s="1568"/>
    </row>
    <row r="48" spans="2:10" ht="35.25" customHeight="1">
      <c r="B48" s="1075" t="s">
        <v>768</v>
      </c>
      <c r="C48" s="1075"/>
      <c r="D48" s="1075"/>
      <c r="E48" s="1075"/>
      <c r="F48" s="1075"/>
      <c r="G48" s="1075"/>
      <c r="H48" s="1075"/>
      <c r="I48" s="1075"/>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topLeftCell="C1" zoomScale="80" zoomScaleNormal="70" zoomScaleSheetLayoutView="100" workbookViewId="0">
      <selection activeCell="C1" sqref="C1"/>
    </sheetView>
  </sheetViews>
  <sheetFormatPr defaultRowHeight="13.5"/>
  <cols>
    <col min="1" max="1" width="2.625" customWidth="1"/>
    <col min="2" max="2" width="3.625" style="412" customWidth="1"/>
    <col min="3" max="3" width="10.625" style="412" customWidth="1"/>
    <col min="4" max="4" width="45.625" customWidth="1"/>
    <col min="5" max="5" width="10.625" style="41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4" t="s">
        <v>769</v>
      </c>
    </row>
    <row r="3" spans="1:10" ht="21">
      <c r="A3" s="413"/>
      <c r="D3" s="1567" t="s">
        <v>770</v>
      </c>
      <c r="E3" s="1567"/>
      <c r="F3" s="1567"/>
      <c r="G3" s="1567"/>
      <c r="H3" s="1567"/>
      <c r="I3" s="1567"/>
    </row>
    <row r="5" spans="1:10" ht="12.95" customHeight="1">
      <c r="B5" s="1575"/>
      <c r="C5" s="1577" t="s">
        <v>730</v>
      </c>
      <c r="D5" s="1579" t="s">
        <v>731</v>
      </c>
      <c r="E5" s="1577" t="s">
        <v>732</v>
      </c>
      <c r="G5" s="1575"/>
      <c r="H5" s="1577" t="s">
        <v>730</v>
      </c>
      <c r="I5" s="1594" t="s">
        <v>764</v>
      </c>
      <c r="J5" s="1577" t="s">
        <v>732</v>
      </c>
    </row>
    <row r="6" spans="1:10" ht="12.95" customHeight="1">
      <c r="B6" s="1576"/>
      <c r="C6" s="1578"/>
      <c r="D6" s="1580"/>
      <c r="E6" s="1578"/>
      <c r="G6" s="1576"/>
      <c r="H6" s="1578"/>
      <c r="I6" s="1595"/>
      <c r="J6" s="1578"/>
    </row>
    <row r="7" spans="1:10" ht="12.95" customHeight="1">
      <c r="B7" s="892" t="s">
        <v>734</v>
      </c>
      <c r="C7" s="1569" t="s">
        <v>187</v>
      </c>
      <c r="D7" s="1592" t="s">
        <v>771</v>
      </c>
      <c r="E7" s="1569" t="s">
        <v>187</v>
      </c>
      <c r="G7" s="1575" t="s">
        <v>754</v>
      </c>
      <c r="H7" s="1581" t="s">
        <v>187</v>
      </c>
      <c r="I7" s="1590" t="s">
        <v>772</v>
      </c>
      <c r="J7" s="1581" t="s">
        <v>187</v>
      </c>
    </row>
    <row r="8" spans="1:10" ht="12.95" customHeight="1">
      <c r="B8" s="892"/>
      <c r="C8" s="1569"/>
      <c r="D8" s="1592"/>
      <c r="E8" s="1569"/>
      <c r="G8" s="1576"/>
      <c r="H8" s="1583"/>
      <c r="I8" s="1591"/>
      <c r="J8" s="1583"/>
    </row>
    <row r="9" spans="1:10" ht="12.95" customHeight="1">
      <c r="B9" s="892" t="s">
        <v>738</v>
      </c>
      <c r="C9" s="1569" t="s">
        <v>187</v>
      </c>
      <c r="D9" s="1592" t="s">
        <v>773</v>
      </c>
      <c r="E9" s="1569" t="s">
        <v>187</v>
      </c>
      <c r="G9" s="366"/>
      <c r="H9" s="416"/>
      <c r="I9" s="418"/>
      <c r="J9" s="416"/>
    </row>
    <row r="10" spans="1:10" ht="12.95" customHeight="1">
      <c r="B10" s="892"/>
      <c r="C10" s="1569"/>
      <c r="D10" s="1592"/>
      <c r="E10" s="1569"/>
      <c r="G10" s="1575"/>
      <c r="H10" s="1577" t="s">
        <v>730</v>
      </c>
      <c r="I10" s="1573" t="s">
        <v>733</v>
      </c>
      <c r="J10" s="1577" t="s">
        <v>732</v>
      </c>
    </row>
    <row r="11" spans="1:10" ht="12.95" customHeight="1">
      <c r="B11" s="892" t="s">
        <v>744</v>
      </c>
      <c r="C11" s="1569" t="s">
        <v>187</v>
      </c>
      <c r="D11" s="1592" t="s">
        <v>774</v>
      </c>
      <c r="E11" s="1569" t="s">
        <v>187</v>
      </c>
      <c r="G11" s="887"/>
      <c r="H11" s="1593"/>
      <c r="I11" s="1573"/>
      <c r="J11" s="1593"/>
    </row>
    <row r="12" spans="1:10" ht="12.95" customHeight="1">
      <c r="B12" s="892"/>
      <c r="C12" s="1569"/>
      <c r="D12" s="1592"/>
      <c r="E12" s="1569"/>
      <c r="G12" s="1576"/>
      <c r="H12" s="1578"/>
      <c r="I12" s="1573"/>
      <c r="J12" s="1578"/>
    </row>
    <row r="13" spans="1:10" ht="12.95" customHeight="1">
      <c r="B13" s="892" t="s">
        <v>747</v>
      </c>
      <c r="C13" s="1569" t="s">
        <v>187</v>
      </c>
      <c r="D13" s="1592" t="s">
        <v>775</v>
      </c>
      <c r="E13" s="1569" t="s">
        <v>187</v>
      </c>
      <c r="G13" s="892" t="s">
        <v>756</v>
      </c>
      <c r="H13" s="1569" t="s">
        <v>187</v>
      </c>
      <c r="I13" s="1592" t="s">
        <v>776</v>
      </c>
      <c r="J13" s="1569" t="s">
        <v>187</v>
      </c>
    </row>
    <row r="14" spans="1:10" ht="12.95" customHeight="1">
      <c r="B14" s="892"/>
      <c r="C14" s="1569"/>
      <c r="D14" s="1592"/>
      <c r="E14" s="1569"/>
      <c r="G14" s="892"/>
      <c r="H14" s="1569"/>
      <c r="I14" s="1592"/>
      <c r="J14" s="1569"/>
    </row>
    <row r="15" spans="1:10" ht="12.95" customHeight="1">
      <c r="C15" s="415"/>
      <c r="D15" s="414"/>
      <c r="E15" s="415"/>
      <c r="G15" s="366"/>
      <c r="H15" s="416"/>
      <c r="I15" s="418"/>
      <c r="J15" s="416"/>
    </row>
    <row r="16" spans="1:10" ht="12.95" customHeight="1">
      <c r="B16" s="1575"/>
      <c r="C16" s="1577" t="s">
        <v>730</v>
      </c>
      <c r="D16" s="1579" t="s">
        <v>743</v>
      </c>
      <c r="E16" s="1577" t="s">
        <v>732</v>
      </c>
      <c r="G16" s="1575"/>
      <c r="H16" s="1577" t="s">
        <v>730</v>
      </c>
      <c r="I16" s="1579" t="s">
        <v>740</v>
      </c>
      <c r="J16" s="1577" t="s">
        <v>732</v>
      </c>
    </row>
    <row r="17" spans="2:10" ht="12.95" customHeight="1">
      <c r="B17" s="1576"/>
      <c r="C17" s="1578"/>
      <c r="D17" s="1580"/>
      <c r="E17" s="1578"/>
      <c r="G17" s="1576"/>
      <c r="H17" s="1578"/>
      <c r="I17" s="1580"/>
      <c r="J17" s="1578"/>
    </row>
    <row r="18" spans="2:10" ht="12.95" customHeight="1">
      <c r="B18" s="892" t="s">
        <v>752</v>
      </c>
      <c r="C18" s="1569" t="s">
        <v>187</v>
      </c>
      <c r="D18" s="1592" t="s">
        <v>777</v>
      </c>
      <c r="E18" s="1569" t="s">
        <v>187</v>
      </c>
      <c r="G18" s="1575" t="s">
        <v>760</v>
      </c>
      <c r="H18" s="1581" t="s">
        <v>187</v>
      </c>
      <c r="I18" s="1590" t="s">
        <v>778</v>
      </c>
      <c r="J18" s="1581" t="s">
        <v>187</v>
      </c>
    </row>
    <row r="19" spans="2:10" ht="12.95" customHeight="1">
      <c r="B19" s="892"/>
      <c r="C19" s="1569"/>
      <c r="D19" s="1592"/>
      <c r="E19" s="1569"/>
      <c r="G19" s="887"/>
      <c r="H19" s="1582"/>
      <c r="I19" s="1588"/>
      <c r="J19" s="1582"/>
    </row>
    <row r="20" spans="2:10" ht="12.95" customHeight="1">
      <c r="B20" s="1575" t="s">
        <v>758</v>
      </c>
      <c r="C20" s="1581" t="s">
        <v>187</v>
      </c>
      <c r="D20" s="1590" t="s">
        <v>779</v>
      </c>
      <c r="E20" s="1581" t="s">
        <v>187</v>
      </c>
      <c r="G20" s="1576"/>
      <c r="H20" s="1583"/>
      <c r="I20" s="1589"/>
      <c r="J20" s="1583"/>
    </row>
    <row r="21" spans="2:10" ht="12.95" customHeight="1">
      <c r="B21" s="887"/>
      <c r="C21" s="1582"/>
      <c r="D21" s="1588"/>
      <c r="E21" s="1582"/>
      <c r="G21" s="1575" t="s">
        <v>762</v>
      </c>
      <c r="H21" s="1581" t="s">
        <v>187</v>
      </c>
      <c r="I21" s="1590" t="s">
        <v>780</v>
      </c>
      <c r="J21" s="1581" t="s">
        <v>187</v>
      </c>
    </row>
    <row r="22" spans="2:10" ht="12.95" customHeight="1">
      <c r="B22" s="1576"/>
      <c r="C22" s="1583"/>
      <c r="D22" s="1589"/>
      <c r="E22" s="1583"/>
      <c r="G22" s="887"/>
      <c r="H22" s="1582"/>
      <c r="I22" s="1588"/>
      <c r="J22" s="1582"/>
    </row>
    <row r="23" spans="2:10" ht="12.95" customHeight="1">
      <c r="B23" s="1575" t="s">
        <v>765</v>
      </c>
      <c r="C23" s="1581" t="s">
        <v>187</v>
      </c>
      <c r="D23" s="1590" t="s">
        <v>781</v>
      </c>
      <c r="E23" s="1581" t="s">
        <v>187</v>
      </c>
      <c r="G23" s="1576"/>
      <c r="H23" s="1583"/>
      <c r="I23" s="1589"/>
      <c r="J23" s="1583"/>
    </row>
    <row r="24" spans="2:10" ht="12.95" customHeight="1">
      <c r="B24" s="887"/>
      <c r="C24" s="1582"/>
      <c r="D24" s="1588"/>
      <c r="E24" s="1582"/>
      <c r="G24" s="366"/>
      <c r="H24" s="416"/>
      <c r="I24" s="417"/>
      <c r="J24" s="416"/>
    </row>
    <row r="25" spans="2:10" ht="12.95" customHeight="1">
      <c r="B25" s="1576"/>
      <c r="C25" s="1583"/>
      <c r="D25" s="1589"/>
      <c r="E25" s="1583"/>
      <c r="G25" s="892"/>
      <c r="H25" s="1572" t="s">
        <v>730</v>
      </c>
      <c r="I25" s="1573" t="s">
        <v>751</v>
      </c>
      <c r="J25" s="1572" t="s">
        <v>732</v>
      </c>
    </row>
    <row r="26" spans="2:10" ht="12.95" customHeight="1">
      <c r="B26" s="892" t="s">
        <v>736</v>
      </c>
      <c r="C26" s="1569" t="s">
        <v>187</v>
      </c>
      <c r="D26" s="1592" t="s">
        <v>782</v>
      </c>
      <c r="E26" s="1569" t="s">
        <v>187</v>
      </c>
      <c r="G26" s="892"/>
      <c r="H26" s="1572"/>
      <c r="I26" s="1573"/>
      <c r="J26" s="1572"/>
    </row>
    <row r="27" spans="2:10" ht="12.95" customHeight="1">
      <c r="B27" s="892"/>
      <c r="C27" s="1569"/>
      <c r="D27" s="1592"/>
      <c r="E27" s="1569"/>
      <c r="G27" s="1575" t="s">
        <v>783</v>
      </c>
      <c r="H27" s="1581" t="s">
        <v>187</v>
      </c>
      <c r="I27" s="1590" t="s">
        <v>755</v>
      </c>
      <c r="J27" s="1581" t="s">
        <v>187</v>
      </c>
    </row>
    <row r="28" spans="2:10" ht="12.95" customHeight="1">
      <c r="B28" s="892" t="s">
        <v>741</v>
      </c>
      <c r="C28" s="1569" t="s">
        <v>187</v>
      </c>
      <c r="D28" s="1592" t="s">
        <v>784</v>
      </c>
      <c r="E28" s="1569" t="s">
        <v>187</v>
      </c>
      <c r="G28" s="887"/>
      <c r="H28" s="1582"/>
      <c r="I28" s="1588"/>
      <c r="J28" s="1582"/>
    </row>
    <row r="29" spans="2:10" ht="12.95" customHeight="1">
      <c r="B29" s="892"/>
      <c r="C29" s="1569"/>
      <c r="D29" s="1592"/>
      <c r="E29" s="1569"/>
      <c r="G29" s="1576"/>
      <c r="H29" s="1583"/>
      <c r="I29" s="1589"/>
      <c r="J29" s="1583"/>
    </row>
    <row r="30" spans="2:10" ht="12.95" customHeight="1">
      <c r="C30" s="415"/>
      <c r="D30" s="414"/>
      <c r="E30" s="415"/>
      <c r="G30" s="892" t="s">
        <v>785</v>
      </c>
      <c r="H30" s="1569" t="s">
        <v>187</v>
      </c>
      <c r="I30" s="1574" t="s">
        <v>757</v>
      </c>
      <c r="J30" s="1569" t="s">
        <v>187</v>
      </c>
    </row>
    <row r="31" spans="2:10" ht="12.95" customHeight="1">
      <c r="B31" s="1575"/>
      <c r="C31" s="1577" t="s">
        <v>730</v>
      </c>
      <c r="D31" s="1579" t="s">
        <v>750</v>
      </c>
      <c r="E31" s="1577" t="s">
        <v>732</v>
      </c>
      <c r="G31" s="892"/>
      <c r="H31" s="1569"/>
      <c r="I31" s="1574"/>
      <c r="J31" s="1569"/>
    </row>
    <row r="32" spans="2:10" ht="12.95" customHeight="1">
      <c r="B32" s="1576"/>
      <c r="C32" s="1578"/>
      <c r="D32" s="1580"/>
      <c r="E32" s="1578"/>
      <c r="G32" s="892" t="s">
        <v>786</v>
      </c>
      <c r="H32" s="1569" t="s">
        <v>187</v>
      </c>
      <c r="I32" s="1574" t="s">
        <v>787</v>
      </c>
      <c r="J32" s="1569" t="s">
        <v>187</v>
      </c>
    </row>
    <row r="33" spans="2:10" ht="12.95" customHeight="1">
      <c r="B33" s="1575" t="s">
        <v>788</v>
      </c>
      <c r="C33" s="1581" t="s">
        <v>187</v>
      </c>
      <c r="D33" s="1596" t="s">
        <v>789</v>
      </c>
      <c r="E33" s="1581" t="s">
        <v>187</v>
      </c>
      <c r="G33" s="892"/>
      <c r="H33" s="1569"/>
      <c r="I33" s="1574"/>
      <c r="J33" s="1569"/>
    </row>
    <row r="34" spans="2:10" ht="12.95" customHeight="1">
      <c r="B34" s="887"/>
      <c r="C34" s="1582"/>
      <c r="D34" s="1585"/>
      <c r="E34" s="1582"/>
      <c r="G34" s="1575" t="s">
        <v>788</v>
      </c>
      <c r="H34" s="1581" t="s">
        <v>187</v>
      </c>
      <c r="I34" s="1587" t="s">
        <v>761</v>
      </c>
      <c r="J34" s="1581" t="s">
        <v>187</v>
      </c>
    </row>
    <row r="35" spans="2:10" ht="12.95" customHeight="1">
      <c r="B35" s="1576"/>
      <c r="C35" s="1583"/>
      <c r="D35" s="1586"/>
      <c r="E35" s="1583"/>
      <c r="G35" s="887"/>
      <c r="H35" s="1582"/>
      <c r="I35" s="1588"/>
      <c r="J35" s="1582"/>
    </row>
    <row r="36" spans="2:10" ht="12.95" customHeight="1">
      <c r="B36" s="892" t="s">
        <v>748</v>
      </c>
      <c r="C36" s="1569" t="s">
        <v>187</v>
      </c>
      <c r="D36" s="1571" t="s">
        <v>790</v>
      </c>
      <c r="E36" s="1569" t="s">
        <v>187</v>
      </c>
      <c r="G36" s="887"/>
      <c r="H36" s="1582"/>
      <c r="I36" s="1588"/>
      <c r="J36" s="1582"/>
    </row>
    <row r="37" spans="2:10" ht="12.95" customHeight="1">
      <c r="B37" s="892"/>
      <c r="C37" s="1569"/>
      <c r="D37" s="1570"/>
      <c r="E37" s="1569"/>
      <c r="G37" s="1576"/>
      <c r="H37" s="1583"/>
      <c r="I37" s="1589"/>
      <c r="J37" s="1583"/>
    </row>
    <row r="38" spans="2:10" ht="12.95" customHeight="1">
      <c r="B38" s="892"/>
      <c r="C38" s="1569"/>
      <c r="D38" s="1570"/>
      <c r="E38" s="1569"/>
      <c r="G38" s="892" t="s">
        <v>791</v>
      </c>
      <c r="H38" s="1569" t="s">
        <v>187</v>
      </c>
      <c r="I38" s="1574" t="s">
        <v>763</v>
      </c>
      <c r="J38" s="1569" t="s">
        <v>187</v>
      </c>
    </row>
    <row r="39" spans="2:10" ht="12.75" customHeight="1">
      <c r="C39" s="415"/>
      <c r="D39" s="107"/>
      <c r="E39" s="415"/>
      <c r="G39" s="892"/>
      <c r="H39" s="1569"/>
      <c r="I39" s="1574"/>
      <c r="J39" s="1569"/>
    </row>
    <row r="40" spans="2:10" ht="12.75" customHeight="1">
      <c r="C40" s="415"/>
      <c r="D40" s="107"/>
      <c r="E40" s="415"/>
      <c r="G40" s="412"/>
      <c r="H40" s="415"/>
      <c r="I40" s="12"/>
      <c r="J40" s="415"/>
    </row>
    <row r="41" spans="2:10">
      <c r="B41" s="1568" t="s">
        <v>767</v>
      </c>
      <c r="C41" s="1568"/>
      <c r="D41" s="1568"/>
      <c r="E41" s="1568"/>
      <c r="F41" s="1568"/>
      <c r="G41" s="1568"/>
      <c r="H41" s="1568"/>
      <c r="I41" s="1568"/>
    </row>
    <row r="42" spans="2:10" ht="35.25" customHeight="1">
      <c r="B42" s="1075" t="s">
        <v>768</v>
      </c>
      <c r="C42" s="1075"/>
      <c r="D42" s="1075"/>
      <c r="E42" s="1075"/>
      <c r="F42" s="1075"/>
      <c r="G42" s="1075"/>
      <c r="H42" s="1075"/>
      <c r="I42" s="1075"/>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heetViews>
  <sheetFormatPr defaultColWidth="4.125" defaultRowHeight="18" customHeight="1"/>
  <cols>
    <col min="1" max="1" width="1.875" style="277" customWidth="1"/>
    <col min="2" max="2" width="4.625" style="277" customWidth="1"/>
    <col min="3" max="3" width="7.25" style="277" customWidth="1"/>
    <col min="4" max="4" width="3.375" style="277" customWidth="1"/>
    <col min="5" max="5" width="11.375" style="277" customWidth="1"/>
    <col min="6" max="6" width="10.375" style="277" customWidth="1"/>
    <col min="7" max="7" width="7.75" style="277" customWidth="1"/>
    <col min="8" max="8" width="3.375" style="277" customWidth="1"/>
    <col min="9" max="9" width="7.375" style="277" customWidth="1"/>
    <col min="10" max="10" width="3.375" style="277" customWidth="1"/>
    <col min="11" max="11" width="8" style="277" customWidth="1"/>
    <col min="12" max="12" width="15.25" style="277" customWidth="1"/>
    <col min="13" max="13" width="7.375" style="277" customWidth="1"/>
    <col min="14" max="14" width="12.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24.4" customHeight="1">
      <c r="B2" s="1598" t="s">
        <v>792</v>
      </c>
      <c r="C2" s="1599"/>
      <c r="D2" s="1599"/>
      <c r="E2" s="1599"/>
      <c r="F2" s="1599"/>
      <c r="G2" s="1599"/>
      <c r="H2" s="1599"/>
      <c r="I2" s="1599"/>
      <c r="J2" s="1599"/>
      <c r="K2" s="1599"/>
      <c r="L2" s="1599"/>
      <c r="M2" s="1599"/>
      <c r="N2" s="1600"/>
    </row>
    <row r="3" spans="1:34" ht="21.75" customHeight="1">
      <c r="B3" s="279"/>
      <c r="C3" s="279"/>
      <c r="D3" s="279"/>
      <c r="E3" s="279"/>
    </row>
    <row r="4" spans="1:34" ht="19.7" customHeight="1">
      <c r="A4" s="280" t="s">
        <v>793</v>
      </c>
      <c r="B4" s="281"/>
      <c r="C4" s="281"/>
      <c r="D4" s="281"/>
      <c r="E4" s="281"/>
      <c r="F4" s="281"/>
      <c r="G4" s="281"/>
      <c r="H4" s="281"/>
      <c r="I4" s="281"/>
    </row>
    <row r="5" spans="1:34" ht="20.25" customHeight="1">
      <c r="A5" s="280"/>
      <c r="B5" s="275" t="s">
        <v>794</v>
      </c>
      <c r="C5" s="275"/>
      <c r="F5" s="282"/>
      <c r="G5" s="282"/>
      <c r="H5" s="283"/>
      <c r="I5" s="283"/>
    </row>
    <row r="6" spans="1:34" ht="30.75" customHeight="1">
      <c r="A6" s="284"/>
      <c r="B6" s="1601" t="str">
        <f>はじめに!D5</f>
        <v>〇〇集落協定</v>
      </c>
      <c r="C6" s="1602"/>
      <c r="D6" s="1602"/>
      <c r="E6" s="1602"/>
      <c r="F6" s="1602"/>
      <c r="G6" s="1602"/>
      <c r="H6" s="1602"/>
      <c r="I6" s="1602"/>
      <c r="J6" s="1602"/>
      <c r="K6" s="1602"/>
      <c r="L6" s="1602"/>
      <c r="M6" s="1603"/>
    </row>
    <row r="7" spans="1:34" ht="20.100000000000001" customHeight="1">
      <c r="A7" s="284"/>
      <c r="B7" s="285"/>
      <c r="C7" s="285"/>
      <c r="D7" s="286"/>
      <c r="E7" s="286"/>
      <c r="F7" s="286"/>
      <c r="G7" s="286"/>
      <c r="H7" s="287"/>
      <c r="I7" s="287"/>
      <c r="J7" s="286"/>
      <c r="K7" s="286"/>
      <c r="L7" s="286"/>
      <c r="M7" s="288"/>
    </row>
    <row r="8" spans="1:34" s="275" customFormat="1" ht="22.5" customHeight="1">
      <c r="A8" s="280"/>
      <c r="B8" s="275" t="s">
        <v>795</v>
      </c>
      <c r="M8" s="276"/>
      <c r="N8" s="276"/>
      <c r="Q8" s="289"/>
    </row>
    <row r="9" spans="1:34" ht="24" customHeight="1">
      <c r="A9" s="284"/>
      <c r="B9" s="1604" t="s">
        <v>796</v>
      </c>
      <c r="C9" s="1604"/>
      <c r="D9" s="1604"/>
      <c r="E9" s="1604"/>
      <c r="F9" s="1605" t="s">
        <v>797</v>
      </c>
      <c r="G9" s="1605"/>
      <c r="H9" s="1605"/>
      <c r="I9" s="1605"/>
      <c r="J9" s="1605"/>
      <c r="K9" s="1605"/>
      <c r="L9" s="1605"/>
    </row>
    <row r="10" spans="1:34" ht="24" customHeight="1">
      <c r="A10" s="284"/>
      <c r="B10" s="1604" t="s">
        <v>798</v>
      </c>
      <c r="C10" s="1604"/>
      <c r="D10" s="1604"/>
      <c r="E10" s="1604"/>
      <c r="F10" s="1606"/>
      <c r="G10" s="1606"/>
      <c r="H10" s="1606"/>
      <c r="I10" s="1606"/>
      <c r="J10" s="1606"/>
      <c r="K10" s="1606"/>
      <c r="L10" s="1606"/>
    </row>
    <row r="11" spans="1:34" ht="24" customHeight="1">
      <c r="A11" s="284"/>
      <c r="B11" s="1604" t="s">
        <v>799</v>
      </c>
      <c r="C11" s="1604"/>
      <c r="D11" s="1604"/>
      <c r="E11" s="1604"/>
      <c r="F11" s="1606"/>
      <c r="G11" s="1606"/>
      <c r="H11" s="1606"/>
      <c r="I11" s="1606"/>
      <c r="J11" s="1606"/>
      <c r="K11" s="1606"/>
      <c r="L11" s="1606"/>
    </row>
    <row r="12" spans="1:34" ht="24" customHeight="1">
      <c r="A12" s="284"/>
      <c r="B12" s="1604" t="s">
        <v>800</v>
      </c>
      <c r="C12" s="1604"/>
      <c r="D12" s="1604"/>
      <c r="E12" s="1604"/>
      <c r="F12" s="1606"/>
      <c r="G12" s="1606"/>
      <c r="H12" s="1606"/>
      <c r="I12" s="1606"/>
      <c r="J12" s="1606"/>
      <c r="K12" s="1606"/>
      <c r="L12" s="1606"/>
    </row>
    <row r="13" spans="1:34" ht="94.5" customHeight="1">
      <c r="A13" s="284"/>
      <c r="B13" s="1607" t="s">
        <v>801</v>
      </c>
      <c r="C13" s="1607"/>
      <c r="D13" s="1607"/>
      <c r="E13" s="1607"/>
      <c r="F13" s="1607"/>
      <c r="G13" s="1607"/>
      <c r="H13" s="1607"/>
      <c r="I13" s="1607"/>
      <c r="J13" s="1607"/>
      <c r="K13" s="1607"/>
      <c r="L13" s="1607"/>
      <c r="M13" s="278"/>
      <c r="N13" s="278"/>
      <c r="O13" s="278"/>
      <c r="P13" s="278"/>
      <c r="Q13" s="278"/>
      <c r="R13" s="278"/>
      <c r="S13" s="278"/>
      <c r="T13" s="278"/>
      <c r="U13" s="278"/>
      <c r="V13" s="278"/>
      <c r="W13" s="278"/>
      <c r="X13" s="278"/>
      <c r="Y13" s="278"/>
      <c r="Z13" s="278"/>
      <c r="AA13" s="278"/>
      <c r="AB13" s="278"/>
      <c r="AC13" s="278"/>
      <c r="AD13" s="278"/>
      <c r="AE13" s="278"/>
      <c r="AF13" s="278"/>
      <c r="AG13" s="278"/>
      <c r="AH13" s="278"/>
    </row>
    <row r="14" spans="1:34" ht="20.100000000000001" customHeight="1">
      <c r="A14" s="284"/>
      <c r="B14" s="290"/>
      <c r="C14" s="290"/>
      <c r="D14" s="290"/>
      <c r="E14" s="290"/>
      <c r="F14" s="290"/>
      <c r="G14" s="290"/>
      <c r="H14" s="290"/>
      <c r="I14" s="290"/>
      <c r="J14" s="290"/>
      <c r="K14" s="290"/>
      <c r="L14" s="290"/>
      <c r="M14" s="290"/>
      <c r="N14" s="290"/>
      <c r="O14" s="278"/>
      <c r="P14" s="278"/>
      <c r="Q14" s="278"/>
      <c r="R14" s="278"/>
      <c r="S14" s="278"/>
      <c r="T14" s="278"/>
      <c r="U14" s="278"/>
      <c r="V14" s="278"/>
      <c r="W14" s="278"/>
      <c r="X14" s="278"/>
      <c r="Y14" s="278"/>
      <c r="Z14" s="278"/>
      <c r="AA14" s="278"/>
      <c r="AB14" s="278"/>
      <c r="AC14" s="278"/>
      <c r="AD14" s="278"/>
      <c r="AE14" s="278"/>
      <c r="AF14" s="278"/>
      <c r="AG14" s="278"/>
      <c r="AH14" s="278"/>
    </row>
    <row r="15" spans="1:34" s="275" customFormat="1" ht="22.5" customHeight="1">
      <c r="A15" s="280"/>
      <c r="B15" s="275" t="s">
        <v>802</v>
      </c>
      <c r="M15" s="276"/>
      <c r="N15" s="276"/>
      <c r="Q15" s="289"/>
    </row>
    <row r="16" spans="1:34" ht="24" customHeight="1" thickBot="1">
      <c r="A16" s="284"/>
      <c r="B16" s="1597" t="s">
        <v>803</v>
      </c>
      <c r="C16" s="1597"/>
      <c r="D16" s="1597" t="s">
        <v>804</v>
      </c>
      <c r="E16" s="1597"/>
      <c r="F16" s="1597"/>
      <c r="G16" s="1597" t="s">
        <v>805</v>
      </c>
      <c r="H16" s="1597"/>
      <c r="I16" s="1597"/>
      <c r="J16" s="1597"/>
      <c r="K16" s="1597"/>
      <c r="L16" s="1597" t="s">
        <v>806</v>
      </c>
      <c r="M16" s="1597"/>
    </row>
    <row r="17" spans="1:34" ht="47.65" customHeight="1" thickTop="1">
      <c r="A17" s="284"/>
      <c r="B17" s="1608" t="s">
        <v>807</v>
      </c>
      <c r="C17" s="1609"/>
      <c r="D17" s="1612" t="s">
        <v>808</v>
      </c>
      <c r="E17" s="1612"/>
      <c r="F17" s="1612"/>
      <c r="G17" s="1612" t="s">
        <v>809</v>
      </c>
      <c r="H17" s="1612"/>
      <c r="I17" s="1612"/>
      <c r="J17" s="1612"/>
      <c r="K17" s="1612"/>
      <c r="L17" s="1612" t="s">
        <v>810</v>
      </c>
      <c r="M17" s="1612"/>
    </row>
    <row r="18" spans="1:34" ht="85.9" customHeight="1">
      <c r="A18" s="284"/>
      <c r="B18" s="1610"/>
      <c r="C18" s="1611"/>
      <c r="D18" s="1604"/>
      <c r="E18" s="1604"/>
      <c r="F18" s="1604"/>
      <c r="G18" s="1604" t="s">
        <v>811</v>
      </c>
      <c r="H18" s="1604"/>
      <c r="I18" s="1604"/>
      <c r="J18" s="1604"/>
      <c r="K18" s="1604"/>
      <c r="L18" s="1604"/>
      <c r="M18" s="1604"/>
    </row>
    <row r="19" spans="1:34" ht="43.15" customHeight="1">
      <c r="A19" s="284"/>
      <c r="B19" s="1613" t="s">
        <v>807</v>
      </c>
      <c r="C19" s="1614"/>
      <c r="D19" s="1604" t="s">
        <v>812</v>
      </c>
      <c r="E19" s="1604"/>
      <c r="F19" s="1604"/>
      <c r="G19" s="1604" t="s">
        <v>813</v>
      </c>
      <c r="H19" s="1604"/>
      <c r="I19" s="1604"/>
      <c r="J19" s="1604"/>
      <c r="K19" s="1604"/>
      <c r="L19" s="1604" t="s">
        <v>814</v>
      </c>
      <c r="M19" s="1604"/>
    </row>
    <row r="20" spans="1:34" ht="62.65" customHeight="1">
      <c r="A20" s="284"/>
      <c r="B20" s="1615"/>
      <c r="C20" s="1616"/>
      <c r="D20" s="1604"/>
      <c r="E20" s="1604"/>
      <c r="F20" s="1604"/>
      <c r="G20" s="1604" t="s">
        <v>815</v>
      </c>
      <c r="H20" s="1604"/>
      <c r="I20" s="1604"/>
      <c r="J20" s="1604"/>
      <c r="K20" s="1604"/>
      <c r="L20" s="1604" t="s">
        <v>816</v>
      </c>
      <c r="M20" s="1604"/>
    </row>
    <row r="21" spans="1:34" ht="68.25" customHeight="1">
      <c r="A21" s="284"/>
      <c r="B21" s="1617" t="s">
        <v>807</v>
      </c>
      <c r="C21" s="1617"/>
      <c r="D21" s="1604" t="s">
        <v>817</v>
      </c>
      <c r="E21" s="1604"/>
      <c r="F21" s="1604"/>
      <c r="G21" s="1604" t="s">
        <v>818</v>
      </c>
      <c r="H21" s="1604"/>
      <c r="I21" s="1604"/>
      <c r="J21" s="1604"/>
      <c r="K21" s="1604"/>
      <c r="L21" s="1604" t="s">
        <v>819</v>
      </c>
      <c r="M21" s="1604"/>
    </row>
    <row r="22" spans="1:34" ht="288" customHeight="1">
      <c r="A22" s="284"/>
      <c r="B22" s="1607" t="s">
        <v>820</v>
      </c>
      <c r="C22" s="1607"/>
      <c r="D22" s="1607"/>
      <c r="E22" s="1607"/>
      <c r="F22" s="1607"/>
      <c r="G22" s="1607"/>
      <c r="H22" s="1607"/>
      <c r="I22" s="1607"/>
      <c r="J22" s="1607"/>
      <c r="K22" s="1607"/>
      <c r="L22" s="1607"/>
      <c r="M22" s="1607"/>
      <c r="N22" s="278"/>
      <c r="O22" s="278"/>
      <c r="P22" s="278"/>
      <c r="Q22" s="278"/>
      <c r="R22" s="278"/>
      <c r="S22" s="278"/>
      <c r="T22" s="278"/>
      <c r="U22" s="278"/>
      <c r="V22" s="278"/>
      <c r="W22" s="278"/>
      <c r="X22" s="278"/>
      <c r="Y22" s="278"/>
      <c r="Z22" s="278"/>
      <c r="AA22" s="278"/>
      <c r="AB22" s="278"/>
      <c r="AC22" s="278"/>
      <c r="AD22" s="278"/>
      <c r="AE22" s="278"/>
      <c r="AF22" s="278"/>
      <c r="AG22" s="278"/>
      <c r="AH22" s="278"/>
    </row>
    <row r="23" spans="1:34" ht="20.100000000000001" customHeight="1">
      <c r="A23" s="284"/>
      <c r="B23" s="290"/>
      <c r="C23" s="290"/>
      <c r="D23" s="290"/>
      <c r="E23" s="290"/>
      <c r="F23" s="290"/>
      <c r="G23" s="290"/>
      <c r="H23" s="290"/>
      <c r="I23" s="290"/>
      <c r="J23" s="290"/>
      <c r="K23" s="290"/>
      <c r="L23" s="290"/>
      <c r="M23" s="290"/>
      <c r="N23" s="290"/>
      <c r="O23" s="278"/>
      <c r="P23" s="278"/>
      <c r="Q23" s="278"/>
      <c r="R23" s="278"/>
      <c r="S23" s="278"/>
      <c r="T23" s="278"/>
      <c r="U23" s="278"/>
      <c r="V23" s="278"/>
      <c r="W23" s="278"/>
      <c r="X23" s="278"/>
      <c r="Y23" s="278"/>
      <c r="Z23" s="278"/>
      <c r="AA23" s="278"/>
      <c r="AB23" s="278"/>
      <c r="AC23" s="278"/>
      <c r="AD23" s="278"/>
      <c r="AE23" s="278"/>
      <c r="AF23" s="278"/>
      <c r="AG23" s="278"/>
      <c r="AH23" s="278"/>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125" zoomScaleNormal="100" zoomScaleSheetLayoutView="100" workbookViewId="0"/>
  </sheetViews>
  <sheetFormatPr defaultColWidth="4.125" defaultRowHeight="18" customHeight="1"/>
  <cols>
    <col min="1" max="1" width="1.875" style="277" customWidth="1"/>
    <col min="2" max="3" width="9.625" style="277" customWidth="1"/>
    <col min="4" max="4" width="7.375" style="277" customWidth="1"/>
    <col min="5" max="5" width="9" style="277" customWidth="1"/>
    <col min="6" max="6" width="8.375" style="277" customWidth="1"/>
    <col min="7" max="7" width="7.375" style="277" customWidth="1"/>
    <col min="8" max="14" width="9.6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19.7" customHeight="1">
      <c r="A2" s="280" t="s">
        <v>821</v>
      </c>
      <c r="B2" s="281"/>
      <c r="C2" s="281"/>
      <c r="D2" s="281"/>
      <c r="E2" s="281"/>
      <c r="F2" s="281"/>
      <c r="G2" s="281"/>
      <c r="H2" s="281"/>
      <c r="I2" s="281"/>
    </row>
    <row r="3" spans="1:34" ht="66.95" customHeight="1">
      <c r="A3" s="284"/>
      <c r="B3" s="1618" t="s">
        <v>822</v>
      </c>
      <c r="C3" s="1618"/>
      <c r="D3" s="1618"/>
      <c r="E3" s="1618"/>
      <c r="F3" s="1618"/>
      <c r="G3" s="1618"/>
      <c r="H3" s="1618"/>
      <c r="I3" s="1618"/>
      <c r="J3" s="1618"/>
      <c r="K3" s="1618"/>
      <c r="L3" s="1618"/>
      <c r="M3" s="1618"/>
      <c r="N3" s="1618"/>
      <c r="O3" s="278"/>
      <c r="P3" s="278"/>
      <c r="Q3" s="278"/>
      <c r="R3" s="278"/>
      <c r="S3" s="278"/>
      <c r="T3" s="278"/>
      <c r="U3" s="278"/>
      <c r="V3" s="278"/>
      <c r="W3" s="278"/>
      <c r="X3" s="278"/>
      <c r="Y3" s="278"/>
      <c r="Z3" s="278"/>
      <c r="AA3" s="278"/>
      <c r="AB3" s="278"/>
      <c r="AC3" s="278"/>
      <c r="AD3" s="278"/>
      <c r="AE3" s="278"/>
      <c r="AF3" s="278"/>
      <c r="AG3" s="278"/>
      <c r="AH3" s="278"/>
    </row>
    <row r="4" spans="1:34" ht="20.100000000000001" customHeight="1">
      <c r="A4" s="284"/>
      <c r="B4" s="285"/>
      <c r="C4" s="285"/>
      <c r="D4" s="286"/>
      <c r="E4" s="286"/>
      <c r="F4" s="286"/>
      <c r="G4" s="286"/>
      <c r="H4" s="287"/>
      <c r="I4" s="287"/>
      <c r="J4" s="286"/>
      <c r="K4" s="286"/>
      <c r="L4" s="286"/>
      <c r="M4" s="288"/>
    </row>
    <row r="5" spans="1:34" ht="20.25" customHeight="1">
      <c r="A5" s="280"/>
      <c r="B5" s="275" t="s">
        <v>823</v>
      </c>
      <c r="C5" s="275"/>
      <c r="F5" s="282"/>
      <c r="G5" s="282"/>
      <c r="H5" s="283"/>
      <c r="I5" s="283"/>
    </row>
    <row r="6" spans="1:34" ht="30.75" customHeight="1">
      <c r="A6" s="284"/>
      <c r="B6" s="1619" t="s">
        <v>824</v>
      </c>
      <c r="C6" s="1620"/>
      <c r="D6" s="1620"/>
      <c r="E6" s="1620"/>
      <c r="F6" s="1620"/>
      <c r="G6" s="1620"/>
      <c r="H6" s="1620"/>
      <c r="I6" s="1620"/>
      <c r="J6" s="1620"/>
      <c r="K6" s="1620"/>
      <c r="L6" s="1620"/>
      <c r="M6" s="1621"/>
    </row>
    <row r="7" spans="1:34" ht="20.100000000000001" customHeight="1">
      <c r="A7" s="284"/>
      <c r="B7" s="285"/>
      <c r="C7" s="285"/>
      <c r="D7" s="286"/>
      <c r="E7" s="286"/>
      <c r="F7" s="286"/>
      <c r="G7" s="286"/>
      <c r="H7" s="287"/>
      <c r="I7" s="287"/>
      <c r="J7" s="286"/>
      <c r="K7" s="286"/>
      <c r="L7" s="286"/>
      <c r="M7" s="288"/>
    </row>
    <row r="8" spans="1:34" s="275" customFormat="1" ht="22.5" customHeight="1">
      <c r="A8" s="280"/>
      <c r="B8" s="275" t="s">
        <v>825</v>
      </c>
      <c r="M8" s="276"/>
      <c r="N8" s="276"/>
      <c r="Q8" s="289"/>
    </row>
    <row r="9" spans="1:34" ht="24" customHeight="1">
      <c r="A9" s="284"/>
      <c r="B9" s="1622" t="s">
        <v>826</v>
      </c>
      <c r="C9" s="1622"/>
      <c r="D9" s="1622"/>
      <c r="E9" s="1622"/>
      <c r="F9" s="1623" t="s">
        <v>827</v>
      </c>
      <c r="G9" s="1623"/>
      <c r="H9" s="1623" t="s">
        <v>828</v>
      </c>
      <c r="I9" s="1623"/>
      <c r="J9" s="1623"/>
      <c r="K9" s="1623"/>
      <c r="L9" s="1625" t="s">
        <v>829</v>
      </c>
      <c r="M9" s="1626"/>
    </row>
    <row r="10" spans="1:34" ht="49.5" customHeight="1" thickBot="1">
      <c r="A10" s="284"/>
      <c r="B10" s="1597"/>
      <c r="C10" s="1597"/>
      <c r="D10" s="1597"/>
      <c r="E10" s="1597"/>
      <c r="F10" s="1624"/>
      <c r="G10" s="1624"/>
      <c r="H10" s="1627" t="s">
        <v>830</v>
      </c>
      <c r="I10" s="1627"/>
      <c r="J10" s="1627" t="s">
        <v>831</v>
      </c>
      <c r="K10" s="1627"/>
      <c r="L10" s="291" t="s">
        <v>832</v>
      </c>
      <c r="M10" s="292" t="s">
        <v>833</v>
      </c>
    </row>
    <row r="11" spans="1:34" ht="24" customHeight="1" thickTop="1">
      <c r="A11" s="284"/>
      <c r="B11" s="1632" t="str">
        <f>"（自協定）"&amp;はじめに!D5</f>
        <v>（自協定）〇〇集落協定</v>
      </c>
      <c r="C11" s="1632" t="s">
        <v>834</v>
      </c>
      <c r="D11" s="1632" t="s">
        <v>834</v>
      </c>
      <c r="E11" s="1632" t="s">
        <v>834</v>
      </c>
      <c r="F11" s="1633">
        <f>別紙１④!$C$63/10000</f>
        <v>4.1962000000000002</v>
      </c>
      <c r="G11" s="1633"/>
      <c r="H11" s="1634"/>
      <c r="I11" s="1634"/>
      <c r="J11" s="1634"/>
      <c r="K11" s="1634"/>
      <c r="L11" s="293"/>
      <c r="M11" s="293"/>
    </row>
    <row r="12" spans="1:34" ht="24" customHeight="1">
      <c r="A12" s="284"/>
      <c r="B12" s="1628" t="s">
        <v>835</v>
      </c>
      <c r="C12" s="1628"/>
      <c r="D12" s="1628"/>
      <c r="E12" s="1628"/>
      <c r="F12" s="1629">
        <v>13.7</v>
      </c>
      <c r="G12" s="1629"/>
      <c r="H12" s="1617" t="s">
        <v>807</v>
      </c>
      <c r="I12" s="1617"/>
      <c r="J12" s="1617" t="s">
        <v>134</v>
      </c>
      <c r="K12" s="1617"/>
      <c r="L12" s="579" t="s">
        <v>807</v>
      </c>
      <c r="M12" s="580"/>
    </row>
    <row r="13" spans="1:34" ht="24" customHeight="1">
      <c r="A13" s="284"/>
      <c r="B13" s="1628" t="s">
        <v>836</v>
      </c>
      <c r="C13" s="1628"/>
      <c r="D13" s="1628"/>
      <c r="E13" s="1628"/>
      <c r="F13" s="1629">
        <v>3.2</v>
      </c>
      <c r="G13" s="1629"/>
      <c r="H13" s="1617" t="s">
        <v>807</v>
      </c>
      <c r="I13" s="1617"/>
      <c r="J13" s="1617" t="s">
        <v>134</v>
      </c>
      <c r="K13" s="1617"/>
      <c r="L13" s="580"/>
      <c r="M13" s="579" t="s">
        <v>807</v>
      </c>
    </row>
    <row r="14" spans="1:34" ht="24" customHeight="1">
      <c r="A14" s="284"/>
      <c r="B14" s="1628"/>
      <c r="C14" s="1628"/>
      <c r="D14" s="1628"/>
      <c r="E14" s="1628"/>
      <c r="F14" s="1629"/>
      <c r="G14" s="1629"/>
      <c r="H14" s="1617" t="s">
        <v>134</v>
      </c>
      <c r="I14" s="1617"/>
      <c r="J14" s="1617" t="s">
        <v>134</v>
      </c>
      <c r="K14" s="1617"/>
      <c r="L14" s="580"/>
      <c r="M14" s="579"/>
    </row>
    <row r="15" spans="1:34" ht="24" customHeight="1">
      <c r="A15" s="284"/>
      <c r="B15" s="1604" t="s">
        <v>837</v>
      </c>
      <c r="C15" s="1604" t="s">
        <v>837</v>
      </c>
      <c r="D15" s="1604" t="s">
        <v>837</v>
      </c>
      <c r="E15" s="1604" t="s">
        <v>837</v>
      </c>
      <c r="F15" s="1630">
        <f>SUM(F11:G14)</f>
        <v>21.0962</v>
      </c>
      <c r="G15" s="1630"/>
      <c r="H15" s="1631"/>
      <c r="I15" s="1631"/>
      <c r="J15" s="1631"/>
      <c r="K15" s="1631"/>
      <c r="L15" s="294"/>
      <c r="M15" s="294"/>
    </row>
    <row r="16" spans="1:34" ht="27.6" customHeight="1">
      <c r="A16" s="284"/>
      <c r="B16" s="1618" t="s">
        <v>838</v>
      </c>
      <c r="C16" s="1618"/>
      <c r="D16" s="1618"/>
      <c r="E16" s="1618"/>
      <c r="F16" s="1618"/>
      <c r="G16" s="1618"/>
      <c r="H16" s="1618"/>
      <c r="I16" s="1618"/>
      <c r="J16" s="1618"/>
      <c r="K16" s="1618"/>
      <c r="L16" s="1618"/>
      <c r="M16" s="1618"/>
      <c r="N16" s="1618"/>
      <c r="O16" s="278"/>
      <c r="P16" s="278"/>
      <c r="Q16" s="278"/>
      <c r="R16" s="278"/>
      <c r="S16" s="278"/>
      <c r="T16" s="278"/>
      <c r="U16" s="278"/>
      <c r="V16" s="278"/>
      <c r="W16" s="278"/>
      <c r="X16" s="278"/>
      <c r="Y16" s="278"/>
      <c r="Z16" s="278"/>
      <c r="AA16" s="278"/>
      <c r="AB16" s="278"/>
      <c r="AC16" s="278"/>
      <c r="AD16" s="278"/>
      <c r="AE16" s="278"/>
      <c r="AF16" s="278"/>
      <c r="AG16" s="278"/>
      <c r="AH16" s="278"/>
    </row>
    <row r="17" spans="1:34" ht="20.100000000000001" customHeight="1">
      <c r="A17" s="284"/>
      <c r="B17" s="290"/>
      <c r="C17" s="290"/>
      <c r="D17" s="290"/>
      <c r="E17" s="290"/>
      <c r="F17" s="290"/>
      <c r="G17" s="290"/>
      <c r="H17" s="290"/>
      <c r="I17" s="290"/>
      <c r="J17" s="290"/>
      <c r="K17" s="290"/>
      <c r="L17" s="290"/>
      <c r="M17" s="290"/>
      <c r="N17" s="290"/>
      <c r="O17" s="278"/>
      <c r="P17" s="278"/>
      <c r="Q17" s="278"/>
      <c r="R17" s="278"/>
      <c r="S17" s="278"/>
      <c r="T17" s="278"/>
      <c r="U17" s="278"/>
      <c r="V17" s="278"/>
      <c r="W17" s="278"/>
      <c r="X17" s="278"/>
      <c r="Y17" s="278"/>
      <c r="Z17" s="278"/>
      <c r="AA17" s="278"/>
      <c r="AB17" s="278"/>
      <c r="AC17" s="278"/>
      <c r="AD17" s="278"/>
      <c r="AE17" s="278"/>
      <c r="AF17" s="278"/>
      <c r="AG17" s="278"/>
      <c r="AH17" s="278"/>
    </row>
    <row r="18" spans="1:34" s="275" customFormat="1" ht="22.5" customHeight="1">
      <c r="A18" s="280"/>
      <c r="B18" s="275" t="s">
        <v>839</v>
      </c>
      <c r="M18" s="276"/>
      <c r="N18" s="276"/>
      <c r="Q18" s="289"/>
    </row>
    <row r="19" spans="1:34" ht="24" customHeight="1" thickBot="1">
      <c r="A19" s="284"/>
      <c r="B19" s="1597" t="s">
        <v>840</v>
      </c>
      <c r="C19" s="1597"/>
      <c r="D19" s="1624"/>
      <c r="E19" s="1624"/>
      <c r="F19" s="1624"/>
      <c r="G19" s="1624"/>
      <c r="H19" s="1624" t="s">
        <v>840</v>
      </c>
      <c r="I19" s="1624"/>
      <c r="J19" s="1624"/>
      <c r="K19" s="1624"/>
      <c r="L19" s="1624"/>
      <c r="M19" s="1624"/>
    </row>
    <row r="20" spans="1:34" ht="23.85" customHeight="1" thickTop="1">
      <c r="A20" s="284"/>
      <c r="B20" s="1617" t="s">
        <v>134</v>
      </c>
      <c r="C20" s="1617"/>
      <c r="D20" s="1635" t="s">
        <v>841</v>
      </c>
      <c r="E20" s="1635"/>
      <c r="F20" s="1635"/>
      <c r="G20" s="1635"/>
      <c r="H20" s="1617" t="s">
        <v>134</v>
      </c>
      <c r="I20" s="1617"/>
      <c r="J20" s="1636" t="s">
        <v>842</v>
      </c>
      <c r="K20" s="1636"/>
      <c r="L20" s="1636"/>
      <c r="M20" s="1636"/>
    </row>
    <row r="21" spans="1:34" ht="24" customHeight="1">
      <c r="A21" s="284"/>
      <c r="B21" s="1617" t="s">
        <v>807</v>
      </c>
      <c r="C21" s="1617"/>
      <c r="D21" s="1637" t="s">
        <v>843</v>
      </c>
      <c r="E21" s="1637"/>
      <c r="F21" s="1637"/>
      <c r="G21" s="1637"/>
      <c r="H21" s="1617" t="s">
        <v>807</v>
      </c>
      <c r="I21" s="1617"/>
      <c r="J21" s="1638" t="s">
        <v>844</v>
      </c>
      <c r="K21" s="1638"/>
      <c r="L21" s="1638"/>
      <c r="M21" s="1638"/>
    </row>
    <row r="22" spans="1:34" ht="24" customHeight="1">
      <c r="A22" s="284"/>
      <c r="B22" s="1617" t="s">
        <v>134</v>
      </c>
      <c r="C22" s="1617"/>
      <c r="D22" s="1637" t="s">
        <v>845</v>
      </c>
      <c r="E22" s="1637"/>
      <c r="F22" s="1637"/>
      <c r="G22" s="1637"/>
      <c r="H22" s="1613" t="s">
        <v>134</v>
      </c>
      <c r="I22" s="1614"/>
      <c r="J22" s="585" t="s">
        <v>846</v>
      </c>
      <c r="K22" s="586"/>
      <c r="L22" s="586"/>
      <c r="M22" s="587"/>
    </row>
    <row r="23" spans="1:34" ht="24" customHeight="1">
      <c r="A23" s="284"/>
      <c r="B23" s="1617" t="s">
        <v>807</v>
      </c>
      <c r="C23" s="1617"/>
      <c r="D23" s="1637" t="s">
        <v>847</v>
      </c>
      <c r="E23" s="1637"/>
      <c r="F23" s="1637"/>
      <c r="G23" s="1637"/>
      <c r="H23" s="1615"/>
      <c r="I23" s="1616"/>
      <c r="J23" s="1639"/>
      <c r="K23" s="1640"/>
      <c r="L23" s="1640"/>
      <c r="M23" s="1641"/>
    </row>
    <row r="24" spans="1:34" ht="108.4" customHeight="1">
      <c r="A24" s="284"/>
      <c r="B24" s="1642" t="s">
        <v>848</v>
      </c>
      <c r="C24" s="1642"/>
      <c r="D24" s="1642"/>
      <c r="E24" s="1642"/>
      <c r="F24" s="1642"/>
      <c r="G24" s="1642"/>
      <c r="H24" s="1642"/>
      <c r="I24" s="1642"/>
      <c r="J24" s="1642"/>
      <c r="K24" s="1642"/>
      <c r="L24" s="1642"/>
      <c r="M24" s="1642"/>
    </row>
    <row r="25" spans="1:34" ht="40.15" customHeight="1">
      <c r="A25" s="284"/>
      <c r="B25" s="1618" t="s">
        <v>849</v>
      </c>
      <c r="C25" s="1618"/>
      <c r="D25" s="1618"/>
      <c r="E25" s="1618"/>
      <c r="F25" s="1618"/>
      <c r="G25" s="1618"/>
      <c r="H25" s="1618"/>
      <c r="I25" s="1618"/>
      <c r="J25" s="1618"/>
      <c r="K25" s="1618"/>
      <c r="L25" s="1618"/>
      <c r="M25" s="1618"/>
      <c r="N25" s="278"/>
      <c r="O25" s="278"/>
      <c r="P25" s="278"/>
      <c r="Q25" s="278"/>
      <c r="R25" s="278"/>
      <c r="S25" s="278"/>
      <c r="T25" s="278"/>
      <c r="U25" s="278"/>
      <c r="V25" s="278"/>
      <c r="W25" s="278"/>
      <c r="X25" s="278"/>
      <c r="Y25" s="278"/>
      <c r="Z25" s="278"/>
      <c r="AA25" s="278"/>
      <c r="AB25" s="278"/>
      <c r="AC25" s="278"/>
      <c r="AD25" s="278"/>
      <c r="AE25" s="278"/>
      <c r="AF25" s="278"/>
      <c r="AG25" s="278"/>
      <c r="AH25" s="278"/>
    </row>
    <row r="26" spans="1:34" ht="20.100000000000001" customHeight="1">
      <c r="A26" s="284"/>
      <c r="B26" s="290"/>
      <c r="C26" s="290"/>
      <c r="D26" s="290"/>
      <c r="E26" s="290"/>
      <c r="F26" s="290"/>
      <c r="G26" s="290"/>
      <c r="H26" s="290"/>
      <c r="I26" s="290"/>
      <c r="J26" s="290"/>
      <c r="K26" s="290"/>
      <c r="L26" s="290"/>
      <c r="M26" s="290"/>
      <c r="N26" s="290"/>
      <c r="O26" s="278"/>
      <c r="P26" s="278"/>
      <c r="Q26" s="278"/>
      <c r="R26" s="278"/>
      <c r="S26" s="278"/>
      <c r="T26" s="278"/>
      <c r="U26" s="278"/>
      <c r="V26" s="278"/>
      <c r="W26" s="278"/>
      <c r="X26" s="278"/>
      <c r="Y26" s="278"/>
      <c r="Z26" s="278"/>
      <c r="AA26" s="278"/>
      <c r="AB26" s="278"/>
      <c r="AC26" s="278"/>
      <c r="AD26" s="278"/>
      <c r="AE26" s="278"/>
      <c r="AF26" s="278"/>
      <c r="AG26" s="278"/>
      <c r="AH26" s="278"/>
    </row>
    <row r="27" spans="1:34" s="275" customFormat="1" ht="22.5" customHeight="1">
      <c r="A27" s="280"/>
      <c r="B27" s="275" t="s">
        <v>850</v>
      </c>
      <c r="M27" s="276"/>
      <c r="N27" s="276"/>
      <c r="Q27" s="289"/>
    </row>
    <row r="28" spans="1:34" ht="24" customHeight="1" thickBot="1">
      <c r="A28" s="284"/>
      <c r="B28" s="1597" t="s">
        <v>840</v>
      </c>
      <c r="C28" s="1597"/>
      <c r="D28" s="1624" t="s">
        <v>851</v>
      </c>
      <c r="E28" s="1624"/>
      <c r="F28" s="1624"/>
      <c r="G28" s="1624"/>
      <c r="H28" s="1624" t="s">
        <v>840</v>
      </c>
      <c r="I28" s="1624"/>
      <c r="J28" s="1624" t="s">
        <v>851</v>
      </c>
      <c r="K28" s="1624"/>
      <c r="L28" s="1624"/>
    </row>
    <row r="29" spans="1:34" ht="24" customHeight="1" thickTop="1">
      <c r="A29" s="284"/>
      <c r="B29" s="1613" t="s">
        <v>807</v>
      </c>
      <c r="C29" s="1614"/>
      <c r="D29" s="1635" t="s">
        <v>852</v>
      </c>
      <c r="E29" s="1635"/>
      <c r="F29" s="1635"/>
      <c r="G29" s="1635"/>
      <c r="H29" s="1617" t="s">
        <v>807</v>
      </c>
      <c r="I29" s="1617"/>
      <c r="J29" s="1636" t="s">
        <v>853</v>
      </c>
      <c r="K29" s="1636"/>
      <c r="L29" s="1636"/>
    </row>
    <row r="30" spans="1:34" ht="23.85" customHeight="1">
      <c r="A30" s="284"/>
      <c r="B30" s="1615"/>
      <c r="C30" s="1616"/>
      <c r="D30" s="1637"/>
      <c r="E30" s="1637"/>
      <c r="F30" s="1637"/>
      <c r="G30" s="1637"/>
      <c r="H30" s="1617" t="s">
        <v>807</v>
      </c>
      <c r="I30" s="1617"/>
      <c r="J30" s="1638" t="s">
        <v>854</v>
      </c>
      <c r="K30" s="1638"/>
      <c r="L30" s="1638"/>
    </row>
    <row r="31" spans="1:34" ht="39.4" customHeight="1">
      <c r="A31" s="284"/>
      <c r="B31" s="1617" t="s">
        <v>134</v>
      </c>
      <c r="C31" s="1617"/>
      <c r="D31" s="1637" t="s">
        <v>855</v>
      </c>
      <c r="E31" s="1637"/>
      <c r="F31" s="1637"/>
      <c r="G31" s="1637"/>
      <c r="H31" s="1617" t="s">
        <v>807</v>
      </c>
      <c r="I31" s="1617"/>
      <c r="J31" s="1638" t="s">
        <v>856</v>
      </c>
      <c r="K31" s="1638"/>
      <c r="L31" s="1638"/>
    </row>
    <row r="32" spans="1:34" ht="24" customHeight="1">
      <c r="A32" s="284"/>
      <c r="B32" s="1617" t="s">
        <v>134</v>
      </c>
      <c r="C32" s="1617"/>
      <c r="D32" s="1637" t="s">
        <v>857</v>
      </c>
      <c r="E32" s="1637"/>
      <c r="F32" s="1637"/>
      <c r="G32" s="1637"/>
      <c r="H32" s="1617" t="s">
        <v>134</v>
      </c>
      <c r="I32" s="1617"/>
      <c r="J32" s="1638" t="s">
        <v>858</v>
      </c>
      <c r="K32" s="1638"/>
      <c r="L32" s="1638"/>
    </row>
    <row r="33" spans="1:34" ht="24" customHeight="1">
      <c r="A33" s="284"/>
      <c r="B33" s="1617" t="s">
        <v>134</v>
      </c>
      <c r="C33" s="1617"/>
      <c r="D33" s="1637" t="s">
        <v>859</v>
      </c>
      <c r="E33" s="1637"/>
      <c r="F33" s="1637"/>
      <c r="G33" s="1637"/>
      <c r="H33" s="1613" t="s">
        <v>134</v>
      </c>
      <c r="I33" s="1614"/>
      <c r="J33" s="584" t="s">
        <v>860</v>
      </c>
      <c r="K33" s="584"/>
      <c r="L33" s="584"/>
    </row>
    <row r="34" spans="1:34" ht="24" customHeight="1">
      <c r="A34" s="284"/>
      <c r="B34" s="1617" t="s">
        <v>807</v>
      </c>
      <c r="C34" s="1617"/>
      <c r="D34" s="1637" t="s">
        <v>861</v>
      </c>
      <c r="E34" s="1637"/>
      <c r="F34" s="1637"/>
      <c r="G34" s="1637"/>
      <c r="H34" s="1615"/>
      <c r="I34" s="1616"/>
      <c r="J34" s="1639"/>
      <c r="K34" s="1640"/>
      <c r="L34" s="1641"/>
    </row>
    <row r="35" spans="1:34" ht="20.100000000000001" customHeight="1">
      <c r="A35" s="284"/>
      <c r="B35" s="290"/>
      <c r="C35" s="290"/>
      <c r="D35" s="290"/>
      <c r="E35" s="290"/>
      <c r="F35" s="290"/>
      <c r="G35" s="290"/>
      <c r="H35" s="290"/>
      <c r="I35" s="290"/>
      <c r="J35" s="290"/>
      <c r="K35" s="290"/>
      <c r="L35" s="290"/>
      <c r="M35" s="290"/>
      <c r="N35" s="290"/>
      <c r="O35" s="278"/>
      <c r="P35" s="278"/>
      <c r="Q35" s="278"/>
      <c r="R35" s="278"/>
      <c r="S35" s="278"/>
      <c r="T35" s="278"/>
      <c r="U35" s="278"/>
      <c r="V35" s="278"/>
      <c r="W35" s="278"/>
      <c r="X35" s="278"/>
      <c r="Y35" s="278"/>
      <c r="Z35" s="278"/>
      <c r="AA35" s="278"/>
      <c r="AB35" s="278"/>
      <c r="AC35" s="278"/>
      <c r="AD35" s="278"/>
      <c r="AE35" s="278"/>
      <c r="AF35" s="278"/>
      <c r="AG35" s="278"/>
      <c r="AH35" s="278"/>
    </row>
    <row r="36" spans="1:34" s="275" customFormat="1" ht="22.5" customHeight="1">
      <c r="A36" s="280"/>
      <c r="B36" s="275" t="s">
        <v>862</v>
      </c>
      <c r="M36" s="276"/>
      <c r="N36" s="276"/>
      <c r="Q36" s="289"/>
    </row>
    <row r="37" spans="1:34" ht="24" customHeight="1" thickBot="1">
      <c r="A37" s="284"/>
      <c r="B37" s="1597" t="s">
        <v>840</v>
      </c>
      <c r="C37" s="1597"/>
      <c r="D37" s="1624" t="s">
        <v>863</v>
      </c>
      <c r="E37" s="1624"/>
      <c r="F37" s="1624"/>
      <c r="G37" s="1624" t="s">
        <v>840</v>
      </c>
      <c r="H37" s="1624"/>
      <c r="I37" s="1643" t="s">
        <v>863</v>
      </c>
      <c r="J37" s="1644"/>
      <c r="K37" s="1644"/>
      <c r="L37" s="1645"/>
    </row>
    <row r="38" spans="1:34" ht="24" customHeight="1" thickTop="1">
      <c r="A38" s="284"/>
      <c r="B38" s="1617" t="s">
        <v>807</v>
      </c>
      <c r="C38" s="1617"/>
      <c r="D38" s="1635" t="s">
        <v>864</v>
      </c>
      <c r="E38" s="1635"/>
      <c r="F38" s="1635"/>
      <c r="G38" s="1617" t="s">
        <v>134</v>
      </c>
      <c r="H38" s="1617"/>
      <c r="I38" s="1646" t="s">
        <v>865</v>
      </c>
      <c r="J38" s="1647"/>
      <c r="K38" s="1647"/>
      <c r="L38" s="1648"/>
    </row>
    <row r="39" spans="1:34" ht="23.85" customHeight="1">
      <c r="A39" s="284"/>
      <c r="B39" s="1617" t="s">
        <v>807</v>
      </c>
      <c r="C39" s="1617"/>
      <c r="D39" s="1637" t="s">
        <v>866</v>
      </c>
      <c r="E39" s="1637"/>
      <c r="F39" s="1637"/>
      <c r="G39" s="1617" t="s">
        <v>134</v>
      </c>
      <c r="H39" s="1617"/>
      <c r="I39" s="427" t="s">
        <v>867</v>
      </c>
      <c r="J39" s="1649"/>
      <c r="K39" s="1649"/>
      <c r="L39" s="428" t="s">
        <v>868</v>
      </c>
    </row>
    <row r="40" spans="1:34" ht="92.65" customHeight="1">
      <c r="A40" s="284"/>
      <c r="B40" s="1607" t="s">
        <v>869</v>
      </c>
      <c r="C40" s="1607"/>
      <c r="D40" s="1607"/>
      <c r="E40" s="1607"/>
      <c r="F40" s="1607"/>
      <c r="G40" s="1607"/>
      <c r="H40" s="1607"/>
      <c r="I40" s="1607"/>
      <c r="J40" s="1607"/>
      <c r="K40" s="1607"/>
      <c r="L40" s="278"/>
      <c r="M40" s="278"/>
      <c r="N40" s="278"/>
    </row>
    <row r="41" spans="1:34" ht="20.100000000000001" customHeight="1">
      <c r="A41" s="284"/>
      <c r="B41" s="290"/>
      <c r="C41" s="290"/>
      <c r="D41" s="290"/>
      <c r="E41" s="290"/>
      <c r="F41" s="290"/>
      <c r="G41" s="290"/>
      <c r="H41" s="290"/>
      <c r="I41" s="290"/>
      <c r="J41" s="290"/>
      <c r="K41" s="290"/>
      <c r="L41" s="290"/>
      <c r="M41" s="290"/>
      <c r="N41" s="290"/>
    </row>
    <row r="42" spans="1:34" s="275" customFormat="1" ht="22.5" customHeight="1">
      <c r="A42" s="280"/>
      <c r="B42" s="275" t="s">
        <v>870</v>
      </c>
      <c r="M42" s="276"/>
      <c r="N42" s="276"/>
      <c r="Q42" s="289"/>
    </row>
    <row r="43" spans="1:34" ht="24" customHeight="1">
      <c r="A43" s="284"/>
      <c r="B43" s="1604" t="s">
        <v>871</v>
      </c>
      <c r="C43" s="1604"/>
      <c r="D43" s="1604"/>
      <c r="E43" s="1604"/>
      <c r="F43" s="1604"/>
      <c r="G43" s="1604"/>
      <c r="H43" s="1604"/>
      <c r="I43" s="1604"/>
      <c r="J43" s="1604"/>
      <c r="K43" s="1604"/>
      <c r="L43" s="1604"/>
      <c r="M43" s="1604"/>
      <c r="N43" s="1604"/>
    </row>
    <row r="44" spans="1:34" ht="24" customHeight="1">
      <c r="A44" s="284"/>
      <c r="B44" s="1637" t="s">
        <v>804</v>
      </c>
      <c r="C44" s="1637"/>
      <c r="D44" s="1637"/>
      <c r="E44" s="1637"/>
      <c r="F44" s="1637"/>
      <c r="G44" s="1637"/>
      <c r="H44" s="295" t="s">
        <v>872</v>
      </c>
      <c r="I44" s="295" t="s">
        <v>873</v>
      </c>
      <c r="J44" s="295" t="s">
        <v>874</v>
      </c>
      <c r="K44" s="295" t="s">
        <v>875</v>
      </c>
      <c r="L44" s="295" t="s">
        <v>876</v>
      </c>
      <c r="M44" s="295" t="s">
        <v>877</v>
      </c>
      <c r="N44" s="295" t="s">
        <v>878</v>
      </c>
    </row>
    <row r="45" spans="1:34" ht="23.85" customHeight="1">
      <c r="A45" s="284"/>
      <c r="B45" s="1604" t="s">
        <v>879</v>
      </c>
      <c r="C45" s="1604"/>
      <c r="D45" s="1604"/>
      <c r="E45" s="1604"/>
      <c r="F45" s="1604"/>
      <c r="G45" s="1604"/>
      <c r="H45" s="579" t="s">
        <v>134</v>
      </c>
      <c r="I45" s="579" t="s">
        <v>807</v>
      </c>
      <c r="J45" s="579" t="s">
        <v>807</v>
      </c>
      <c r="K45" s="579" t="s">
        <v>134</v>
      </c>
      <c r="L45" s="579" t="s">
        <v>134</v>
      </c>
      <c r="M45" s="579" t="s">
        <v>134</v>
      </c>
      <c r="N45" s="579" t="s">
        <v>134</v>
      </c>
    </row>
    <row r="46" spans="1:34" ht="24" customHeight="1">
      <c r="A46" s="284"/>
      <c r="B46" s="1604" t="s">
        <v>880</v>
      </c>
      <c r="C46" s="1604"/>
      <c r="D46" s="1604"/>
      <c r="E46" s="1604"/>
      <c r="F46" s="1604"/>
      <c r="G46" s="1604"/>
      <c r="H46" s="579" t="s">
        <v>134</v>
      </c>
      <c r="I46" s="579" t="s">
        <v>807</v>
      </c>
      <c r="J46" s="579" t="s">
        <v>807</v>
      </c>
      <c r="K46" s="579" t="s">
        <v>134</v>
      </c>
      <c r="L46" s="579" t="s">
        <v>134</v>
      </c>
      <c r="M46" s="579" t="s">
        <v>134</v>
      </c>
      <c r="N46" s="579" t="s">
        <v>134</v>
      </c>
    </row>
    <row r="47" spans="1:34" ht="15" customHeight="1">
      <c r="A47" s="284"/>
      <c r="B47" s="1660" t="s">
        <v>881</v>
      </c>
      <c r="C47" s="1661"/>
      <c r="D47" s="1661"/>
      <c r="E47" s="1661"/>
      <c r="F47" s="1661"/>
      <c r="G47" s="1662"/>
      <c r="H47" s="581" t="s">
        <v>882</v>
      </c>
      <c r="I47" s="581"/>
      <c r="J47" s="581" t="s">
        <v>883</v>
      </c>
      <c r="K47" s="581"/>
      <c r="L47" s="581" t="s">
        <v>884</v>
      </c>
      <c r="M47" s="581"/>
      <c r="N47" s="581"/>
    </row>
    <row r="48" spans="1:34" ht="15" customHeight="1">
      <c r="A48" s="284"/>
      <c r="B48" s="1663"/>
      <c r="C48" s="1664"/>
      <c r="D48" s="1664"/>
      <c r="E48" s="1664"/>
      <c r="F48" s="1664"/>
      <c r="G48" s="1665"/>
      <c r="H48" s="581"/>
      <c r="I48" s="581"/>
      <c r="J48" s="581" t="s">
        <v>885</v>
      </c>
      <c r="K48" s="581"/>
      <c r="L48" s="581" t="s">
        <v>886</v>
      </c>
      <c r="M48" s="581"/>
      <c r="N48" s="581"/>
    </row>
    <row r="49" spans="1:14" ht="15" customHeight="1">
      <c r="A49" s="284"/>
      <c r="B49" s="1666"/>
      <c r="C49" s="1667"/>
      <c r="D49" s="1667"/>
      <c r="E49" s="1667"/>
      <c r="F49" s="1667"/>
      <c r="G49" s="1668"/>
      <c r="H49" s="581"/>
      <c r="I49" s="581"/>
      <c r="J49" s="581"/>
      <c r="K49" s="581"/>
      <c r="L49" s="581"/>
      <c r="M49" s="581"/>
      <c r="N49" s="581"/>
    </row>
    <row r="50" spans="1:14" ht="24" customHeight="1">
      <c r="A50" s="284"/>
      <c r="B50" s="1604" t="s">
        <v>887</v>
      </c>
      <c r="C50" s="1604"/>
      <c r="D50" s="1604"/>
      <c r="E50" s="1604"/>
      <c r="F50" s="1604"/>
      <c r="G50" s="1604"/>
      <c r="H50" s="579" t="s">
        <v>134</v>
      </c>
      <c r="I50" s="579" t="s">
        <v>134</v>
      </c>
      <c r="J50" s="579" t="s">
        <v>807</v>
      </c>
      <c r="K50" s="579" t="s">
        <v>134</v>
      </c>
      <c r="L50" s="579" t="s">
        <v>134</v>
      </c>
      <c r="M50" s="579" t="s">
        <v>134</v>
      </c>
      <c r="N50" s="579" t="s">
        <v>134</v>
      </c>
    </row>
    <row r="51" spans="1:14" ht="24" customHeight="1">
      <c r="A51" s="284"/>
      <c r="B51" s="1604" t="s">
        <v>888</v>
      </c>
      <c r="C51" s="1604"/>
      <c r="D51" s="1604"/>
      <c r="E51" s="1604"/>
      <c r="F51" s="1604"/>
      <c r="G51" s="1604"/>
      <c r="H51" s="296"/>
      <c r="I51" s="579" t="s">
        <v>134</v>
      </c>
      <c r="J51" s="579" t="s">
        <v>807</v>
      </c>
      <c r="K51" s="579" t="s">
        <v>807</v>
      </c>
      <c r="L51" s="579" t="s">
        <v>807</v>
      </c>
      <c r="M51" s="579" t="s">
        <v>807</v>
      </c>
      <c r="N51" s="296"/>
    </row>
    <row r="52" spans="1:14" ht="22.5" customHeight="1">
      <c r="A52" s="284"/>
      <c r="B52" s="1650" t="s">
        <v>889</v>
      </c>
      <c r="C52" s="1651"/>
      <c r="D52" s="1651"/>
      <c r="E52" s="1651"/>
      <c r="F52" s="1651"/>
      <c r="G52" s="1651"/>
      <c r="H52" s="1651"/>
      <c r="I52" s="1651"/>
      <c r="J52" s="1651"/>
      <c r="K52" s="1651"/>
      <c r="L52" s="1651"/>
      <c r="M52" s="1651"/>
      <c r="N52" s="1652"/>
    </row>
    <row r="53" spans="1:14" ht="22.5" customHeight="1">
      <c r="A53" s="284"/>
      <c r="B53" s="1653"/>
      <c r="C53" s="1654"/>
      <c r="D53" s="1654"/>
      <c r="E53" s="1654"/>
      <c r="F53" s="1654"/>
      <c r="G53" s="1654"/>
      <c r="H53" s="1654"/>
      <c r="I53" s="1654"/>
      <c r="J53" s="1654"/>
      <c r="K53" s="1654"/>
      <c r="L53" s="1654"/>
      <c r="M53" s="1654"/>
      <c r="N53" s="1655"/>
    </row>
    <row r="54" spans="1:14" ht="22.5" customHeight="1">
      <c r="A54" s="284"/>
      <c r="B54" s="1653"/>
      <c r="C54" s="1654"/>
      <c r="D54" s="1654"/>
      <c r="E54" s="1654"/>
      <c r="F54" s="1654"/>
      <c r="G54" s="1654"/>
      <c r="H54" s="1654"/>
      <c r="I54" s="1654"/>
      <c r="J54" s="1654"/>
      <c r="K54" s="1654"/>
      <c r="L54" s="1654"/>
      <c r="M54" s="1654"/>
      <c r="N54" s="1655"/>
    </row>
    <row r="55" spans="1:14" ht="22.5" customHeight="1">
      <c r="A55" s="284"/>
      <c r="B55" s="1653"/>
      <c r="C55" s="1654"/>
      <c r="D55" s="1654"/>
      <c r="E55" s="1654"/>
      <c r="F55" s="1654"/>
      <c r="G55" s="1654"/>
      <c r="H55" s="1654"/>
      <c r="I55" s="1654"/>
      <c r="J55" s="1654"/>
      <c r="K55" s="1654"/>
      <c r="L55" s="1654"/>
      <c r="M55" s="1654"/>
      <c r="N55" s="1655"/>
    </row>
    <row r="56" spans="1:14" ht="22.5" customHeight="1">
      <c r="A56" s="284"/>
      <c r="B56" s="1653"/>
      <c r="C56" s="1654"/>
      <c r="D56" s="1654"/>
      <c r="E56" s="1654"/>
      <c r="F56" s="1654"/>
      <c r="G56" s="1654"/>
      <c r="H56" s="1654"/>
      <c r="I56" s="1654"/>
      <c r="J56" s="1654"/>
      <c r="K56" s="1654"/>
      <c r="L56" s="1654"/>
      <c r="M56" s="1654"/>
      <c r="N56" s="1655"/>
    </row>
    <row r="57" spans="1:14" ht="22.5" customHeight="1">
      <c r="A57" s="284"/>
      <c r="B57" s="1653"/>
      <c r="C57" s="1654"/>
      <c r="D57" s="1654"/>
      <c r="E57" s="1654"/>
      <c r="F57" s="1654"/>
      <c r="G57" s="1654"/>
      <c r="H57" s="1654"/>
      <c r="I57" s="1654"/>
      <c r="J57" s="1654"/>
      <c r="K57" s="1654"/>
      <c r="L57" s="1654"/>
      <c r="M57" s="1654"/>
      <c r="N57" s="1655"/>
    </row>
    <row r="58" spans="1:14" ht="22.5" customHeight="1">
      <c r="B58" s="1653"/>
      <c r="C58" s="1654"/>
      <c r="D58" s="1654"/>
      <c r="E58" s="1654"/>
      <c r="F58" s="1654"/>
      <c r="G58" s="1654"/>
      <c r="H58" s="1654"/>
      <c r="I58" s="1654"/>
      <c r="J58" s="1654"/>
      <c r="K58" s="1654"/>
      <c r="L58" s="1654"/>
      <c r="M58" s="1654"/>
      <c r="N58" s="1655"/>
    </row>
    <row r="59" spans="1:14" s="298" customFormat="1" ht="22.5" customHeight="1">
      <c r="A59" s="297"/>
      <c r="B59" s="1653"/>
      <c r="C59" s="1654"/>
      <c r="D59" s="1654"/>
      <c r="E59" s="1654"/>
      <c r="F59" s="1654"/>
      <c r="G59" s="1654"/>
      <c r="H59" s="1654"/>
      <c r="I59" s="1654"/>
      <c r="J59" s="1654"/>
      <c r="K59" s="1654"/>
      <c r="L59" s="1654"/>
      <c r="M59" s="1654"/>
      <c r="N59" s="1655"/>
    </row>
    <row r="60" spans="1:14" ht="22.5" customHeight="1">
      <c r="B60" s="1656"/>
      <c r="C60" s="1657"/>
      <c r="D60" s="1657"/>
      <c r="E60" s="1657"/>
      <c r="F60" s="1657"/>
      <c r="G60" s="1657"/>
      <c r="H60" s="1657"/>
      <c r="I60" s="1657"/>
      <c r="J60" s="1657"/>
      <c r="K60" s="1657"/>
      <c r="L60" s="1657"/>
      <c r="M60" s="1657"/>
      <c r="N60" s="1658"/>
    </row>
    <row r="61" spans="1:14" ht="31.5" customHeight="1">
      <c r="A61" s="297"/>
      <c r="B61" s="1659" t="s">
        <v>890</v>
      </c>
      <c r="C61" s="1659"/>
      <c r="D61" s="1659"/>
      <c r="E61" s="1659"/>
      <c r="F61" s="1659"/>
      <c r="G61" s="1659"/>
      <c r="H61" s="1659"/>
      <c r="I61" s="1659"/>
      <c r="J61" s="1659"/>
      <c r="K61" s="1659"/>
      <c r="L61" s="1659"/>
      <c r="M61" s="1659"/>
      <c r="N61" s="1659"/>
    </row>
    <row r="62" spans="1:14" ht="20.100000000000001" customHeight="1"/>
    <row r="63" spans="1:14" s="275" customFormat="1" ht="22.5" customHeight="1">
      <c r="A63" s="280"/>
      <c r="B63" s="275" t="s">
        <v>891</v>
      </c>
      <c r="M63" s="289"/>
    </row>
    <row r="64" spans="1:14" ht="24" customHeight="1" thickBot="1">
      <c r="A64" s="284"/>
      <c r="B64" s="1597" t="s">
        <v>840</v>
      </c>
      <c r="C64" s="1597"/>
      <c r="D64" s="1597" t="s">
        <v>892</v>
      </c>
      <c r="E64" s="1597"/>
      <c r="F64" s="1597"/>
      <c r="G64" s="1597"/>
      <c r="H64" s="1597"/>
      <c r="I64" s="1597"/>
      <c r="J64" s="1597"/>
      <c r="K64" s="1597"/>
    </row>
    <row r="65" spans="1:11" ht="23.1" customHeight="1" thickTop="1">
      <c r="A65" s="284"/>
      <c r="B65" s="1617" t="s">
        <v>134</v>
      </c>
      <c r="C65" s="1617"/>
      <c r="D65" s="1636" t="s">
        <v>893</v>
      </c>
      <c r="E65" s="1636"/>
      <c r="F65" s="1636"/>
      <c r="G65" s="1636"/>
      <c r="H65" s="1636"/>
      <c r="I65" s="1636"/>
      <c r="J65" s="1636"/>
      <c r="K65" s="1636"/>
    </row>
    <row r="66" spans="1:11" ht="23.1" customHeight="1">
      <c r="A66" s="284"/>
      <c r="B66" s="1617" t="s">
        <v>807</v>
      </c>
      <c r="C66" s="1617"/>
      <c r="D66" s="1638" t="s">
        <v>894</v>
      </c>
      <c r="E66" s="1638"/>
      <c r="F66" s="1638"/>
      <c r="G66" s="1638"/>
      <c r="H66" s="1638"/>
      <c r="I66" s="1638"/>
      <c r="J66" s="1638"/>
      <c r="K66" s="1638"/>
    </row>
    <row r="67" spans="1:11" ht="23.1" customHeight="1">
      <c r="A67" s="284"/>
      <c r="B67" s="1617" t="s">
        <v>134</v>
      </c>
      <c r="C67" s="1617"/>
      <c r="D67" s="1638" t="s">
        <v>895</v>
      </c>
      <c r="E67" s="1638"/>
      <c r="F67" s="1638"/>
      <c r="G67" s="1638"/>
      <c r="H67" s="1638"/>
      <c r="I67" s="1638"/>
      <c r="J67" s="1638"/>
      <c r="K67" s="1638"/>
    </row>
    <row r="68" spans="1:11" ht="23.1" customHeight="1">
      <c r="B68" s="1617" t="s">
        <v>134</v>
      </c>
      <c r="C68" s="1617"/>
      <c r="D68" s="1638" t="s">
        <v>896</v>
      </c>
      <c r="E68" s="1638"/>
      <c r="F68" s="1638"/>
      <c r="G68" s="1638"/>
      <c r="H68" s="1638"/>
      <c r="I68" s="1638"/>
      <c r="J68" s="1638"/>
      <c r="K68" s="1638"/>
    </row>
    <row r="69" spans="1:11" ht="23.1" customHeight="1">
      <c r="B69" s="1617" t="s">
        <v>134</v>
      </c>
      <c r="C69" s="1617"/>
      <c r="D69" s="1638" t="s">
        <v>897</v>
      </c>
      <c r="E69" s="1638"/>
      <c r="F69" s="1638"/>
      <c r="G69" s="1638"/>
      <c r="H69" s="1638"/>
      <c r="I69" s="1638"/>
      <c r="J69" s="1638"/>
      <c r="K69" s="1638"/>
    </row>
    <row r="70" spans="1:11" ht="23.1" customHeight="1">
      <c r="B70" s="1617" t="s">
        <v>134</v>
      </c>
      <c r="C70" s="1617"/>
      <c r="D70" s="429" t="s">
        <v>898</v>
      </c>
      <c r="E70" s="427"/>
      <c r="F70" s="1649"/>
      <c r="G70" s="1649"/>
      <c r="H70" s="1649"/>
      <c r="I70" s="1649"/>
      <c r="J70" s="1649"/>
      <c r="K70" s="428" t="s">
        <v>899</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zoomScaleNormal="100" zoomScaleSheetLayoutView="100" workbookViewId="0"/>
  </sheetViews>
  <sheetFormatPr defaultColWidth="4.125" defaultRowHeight="18" customHeight="1"/>
  <cols>
    <col min="1" max="1" width="1.875" style="277" customWidth="1"/>
    <col min="2" max="14" width="9.6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19.7" customHeight="1">
      <c r="A2" s="280" t="s">
        <v>900</v>
      </c>
      <c r="B2" s="281"/>
      <c r="C2" s="281"/>
      <c r="D2" s="281"/>
      <c r="E2" s="281"/>
      <c r="F2" s="281"/>
      <c r="G2" s="281"/>
      <c r="H2" s="281"/>
      <c r="I2" s="281"/>
    </row>
    <row r="3" spans="1:34" ht="74.45" customHeight="1">
      <c r="A3" s="284"/>
      <c r="B3" s="1618" t="s">
        <v>901</v>
      </c>
      <c r="C3" s="1618"/>
      <c r="D3" s="1618"/>
      <c r="E3" s="1618"/>
      <c r="F3" s="1618"/>
      <c r="G3" s="1618"/>
      <c r="H3" s="1618"/>
      <c r="I3" s="1618"/>
      <c r="J3" s="1618"/>
      <c r="K3" s="1618"/>
      <c r="L3" s="1618"/>
      <c r="M3" s="1618"/>
      <c r="N3" s="1618"/>
      <c r="O3" s="278"/>
      <c r="P3" s="278"/>
      <c r="Q3" s="278"/>
      <c r="R3" s="278"/>
      <c r="S3" s="278"/>
      <c r="T3" s="278"/>
      <c r="U3" s="278"/>
      <c r="V3" s="278"/>
      <c r="W3" s="278"/>
      <c r="X3" s="278"/>
      <c r="Y3" s="278"/>
      <c r="Z3" s="278"/>
      <c r="AA3" s="278"/>
      <c r="AB3" s="278"/>
      <c r="AC3" s="278"/>
      <c r="AD3" s="278"/>
      <c r="AE3" s="278"/>
      <c r="AF3" s="278"/>
      <c r="AG3" s="278"/>
      <c r="AH3" s="278"/>
    </row>
    <row r="4" spans="1:34" ht="20.100000000000001" customHeight="1">
      <c r="A4" s="284"/>
      <c r="B4" s="285"/>
      <c r="C4" s="285"/>
      <c r="D4" s="286"/>
      <c r="E4" s="286"/>
      <c r="F4" s="286"/>
      <c r="G4" s="286"/>
      <c r="H4" s="287"/>
      <c r="I4" s="287"/>
      <c r="J4" s="286"/>
      <c r="K4" s="286"/>
      <c r="L4" s="286"/>
      <c r="M4" s="288"/>
    </row>
    <row r="5" spans="1:34" ht="20.25" customHeight="1">
      <c r="A5" s="280"/>
      <c r="B5" s="275" t="s">
        <v>902</v>
      </c>
      <c r="C5" s="275"/>
      <c r="F5" s="282"/>
      <c r="G5" s="282"/>
      <c r="H5" s="283"/>
      <c r="I5" s="283"/>
    </row>
    <row r="6" spans="1:34" ht="30.75" customHeight="1">
      <c r="A6" s="284"/>
      <c r="B6" s="1619" t="s">
        <v>903</v>
      </c>
      <c r="C6" s="1620"/>
      <c r="D6" s="1620"/>
      <c r="E6" s="1620"/>
      <c r="F6" s="1620"/>
      <c r="G6" s="1620"/>
      <c r="H6" s="1620"/>
      <c r="I6" s="1620"/>
      <c r="J6" s="1620"/>
      <c r="K6" s="1620"/>
      <c r="L6" s="1620"/>
      <c r="M6" s="1621"/>
    </row>
    <row r="7" spans="1:34" ht="20.100000000000001" customHeight="1">
      <c r="A7" s="284"/>
      <c r="B7" s="285"/>
      <c r="C7" s="285"/>
      <c r="D7" s="286"/>
      <c r="E7" s="286"/>
      <c r="F7" s="286"/>
      <c r="G7" s="286"/>
      <c r="H7" s="287"/>
      <c r="I7" s="287"/>
      <c r="J7" s="286"/>
      <c r="K7" s="286"/>
      <c r="L7" s="286"/>
      <c r="M7" s="288"/>
    </row>
    <row r="8" spans="1:34" s="275" customFormat="1" ht="22.5" customHeight="1">
      <c r="A8" s="280"/>
      <c r="B8" s="275" t="s">
        <v>904</v>
      </c>
      <c r="M8" s="276"/>
      <c r="N8" s="276"/>
      <c r="Q8" s="289"/>
    </row>
    <row r="9" spans="1:34" ht="24" customHeight="1">
      <c r="A9" s="284"/>
      <c r="B9" s="1622" t="s">
        <v>826</v>
      </c>
      <c r="C9" s="1622"/>
      <c r="D9" s="1622"/>
      <c r="E9" s="1622"/>
      <c r="F9" s="1623" t="s">
        <v>827</v>
      </c>
      <c r="G9" s="1623"/>
      <c r="H9" s="1623" t="s">
        <v>828</v>
      </c>
      <c r="I9" s="1623"/>
      <c r="J9" s="1623"/>
      <c r="K9" s="1623"/>
    </row>
    <row r="10" spans="1:34" ht="49.5" customHeight="1" thickBot="1">
      <c r="A10" s="284"/>
      <c r="B10" s="1597"/>
      <c r="C10" s="1597"/>
      <c r="D10" s="1597"/>
      <c r="E10" s="1597"/>
      <c r="F10" s="1624"/>
      <c r="G10" s="1624"/>
      <c r="H10" s="1627" t="s">
        <v>830</v>
      </c>
      <c r="I10" s="1627"/>
      <c r="J10" s="1627" t="s">
        <v>831</v>
      </c>
      <c r="K10" s="1627"/>
    </row>
    <row r="11" spans="1:34" ht="24" customHeight="1" thickTop="1">
      <c r="A11" s="284"/>
      <c r="B11" s="1632" t="str">
        <f>"（自協定）"&amp;はじめに!D5</f>
        <v>（自協定）〇〇集落協定</v>
      </c>
      <c r="C11" s="1632" t="s">
        <v>834</v>
      </c>
      <c r="D11" s="1632" t="s">
        <v>834</v>
      </c>
      <c r="E11" s="1632" t="s">
        <v>834</v>
      </c>
      <c r="F11" s="1671">
        <f>別紙１④!$C$63/10000</f>
        <v>4.1962000000000002</v>
      </c>
      <c r="G11" s="1671"/>
      <c r="H11" s="1634"/>
      <c r="I11" s="1634"/>
      <c r="J11" s="1634"/>
      <c r="K11" s="1634"/>
    </row>
    <row r="12" spans="1:34" ht="24" customHeight="1">
      <c r="A12" s="284"/>
      <c r="B12" s="1628" t="s">
        <v>905</v>
      </c>
      <c r="C12" s="1628"/>
      <c r="D12" s="1628"/>
      <c r="E12" s="1628"/>
      <c r="F12" s="1669">
        <v>5.5</v>
      </c>
      <c r="G12" s="1669"/>
      <c r="H12" s="1617" t="s">
        <v>807</v>
      </c>
      <c r="I12" s="1617"/>
      <c r="J12" s="1617" t="s">
        <v>134</v>
      </c>
      <c r="K12" s="1617"/>
    </row>
    <row r="13" spans="1:34" ht="24" customHeight="1">
      <c r="A13" s="284"/>
      <c r="B13" s="1628" t="s">
        <v>906</v>
      </c>
      <c r="C13" s="1628"/>
      <c r="D13" s="1628"/>
      <c r="E13" s="1628"/>
      <c r="F13" s="1669">
        <v>8.6999999999999993</v>
      </c>
      <c r="G13" s="1669"/>
      <c r="H13" s="1617" t="s">
        <v>807</v>
      </c>
      <c r="I13" s="1617"/>
      <c r="J13" s="1617" t="s">
        <v>134</v>
      </c>
      <c r="K13" s="1617"/>
    </row>
    <row r="14" spans="1:34" ht="24" customHeight="1">
      <c r="A14" s="284"/>
      <c r="B14" s="1628"/>
      <c r="C14" s="1628"/>
      <c r="D14" s="1628"/>
      <c r="E14" s="1628"/>
      <c r="F14" s="1669"/>
      <c r="G14" s="1669"/>
      <c r="H14" s="1617"/>
      <c r="I14" s="1617"/>
      <c r="J14" s="1617" t="s">
        <v>134</v>
      </c>
      <c r="K14" s="1617"/>
    </row>
    <row r="15" spans="1:34" ht="24" customHeight="1">
      <c r="A15" s="284"/>
      <c r="B15" s="1604" t="s">
        <v>837</v>
      </c>
      <c r="C15" s="1604" t="s">
        <v>837</v>
      </c>
      <c r="D15" s="1604" t="s">
        <v>837</v>
      </c>
      <c r="E15" s="1604" t="s">
        <v>837</v>
      </c>
      <c r="F15" s="1670">
        <f>SUM(F11:G14)</f>
        <v>18.3962</v>
      </c>
      <c r="G15" s="1670"/>
      <c r="H15" s="1631"/>
      <c r="I15" s="1631"/>
      <c r="J15" s="1631"/>
      <c r="K15" s="1631"/>
    </row>
    <row r="16" spans="1:34" ht="51.4" customHeight="1">
      <c r="A16" s="284"/>
      <c r="B16" s="1607" t="s">
        <v>907</v>
      </c>
      <c r="C16" s="1607"/>
      <c r="D16" s="1607"/>
      <c r="E16" s="1607"/>
      <c r="F16" s="1607"/>
      <c r="G16" s="1607"/>
      <c r="H16" s="1607"/>
      <c r="I16" s="1607"/>
      <c r="J16" s="1607"/>
      <c r="K16" s="160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row>
    <row r="17" spans="1:34" ht="20.100000000000001" customHeight="1">
      <c r="A17" s="284"/>
      <c r="B17" s="290"/>
      <c r="C17" s="290"/>
      <c r="D17" s="290"/>
      <c r="E17" s="290"/>
      <c r="F17" s="290"/>
      <c r="G17" s="290"/>
      <c r="H17" s="290"/>
      <c r="I17" s="290"/>
      <c r="J17" s="290"/>
      <c r="K17" s="290"/>
      <c r="L17" s="290"/>
      <c r="M17" s="290"/>
      <c r="N17" s="290"/>
      <c r="O17" s="278"/>
      <c r="P17" s="278"/>
      <c r="Q17" s="278"/>
      <c r="R17" s="278"/>
      <c r="S17" s="278"/>
      <c r="T17" s="278"/>
      <c r="U17" s="278"/>
      <c r="V17" s="278"/>
      <c r="W17" s="278"/>
      <c r="X17" s="278"/>
      <c r="Y17" s="278"/>
      <c r="Z17" s="278"/>
      <c r="AA17" s="278"/>
      <c r="AB17" s="278"/>
      <c r="AC17" s="278"/>
      <c r="AD17" s="278"/>
      <c r="AE17" s="278"/>
      <c r="AF17" s="278"/>
      <c r="AG17" s="278"/>
      <c r="AH17" s="278"/>
    </row>
    <row r="18" spans="1:34" s="275" customFormat="1" ht="22.5" customHeight="1">
      <c r="A18" s="280"/>
      <c r="B18" s="275" t="s">
        <v>908</v>
      </c>
      <c r="M18" s="276"/>
      <c r="N18" s="276"/>
      <c r="Q18" s="289"/>
    </row>
    <row r="19" spans="1:34" ht="24" customHeight="1" thickBot="1">
      <c r="A19" s="284"/>
      <c r="B19" s="1597" t="s">
        <v>840</v>
      </c>
      <c r="C19" s="1597"/>
      <c r="D19" s="1624"/>
      <c r="E19" s="1624"/>
      <c r="F19" s="1624"/>
      <c r="G19" s="1624"/>
      <c r="H19" s="1624" t="s">
        <v>840</v>
      </c>
      <c r="I19" s="1624"/>
      <c r="J19" s="1624"/>
      <c r="K19" s="1624"/>
      <c r="L19" s="1624"/>
      <c r="M19" s="1624"/>
    </row>
    <row r="20" spans="1:34" ht="23.85" customHeight="1" thickTop="1">
      <c r="A20" s="284"/>
      <c r="B20" s="1617" t="s">
        <v>134</v>
      </c>
      <c r="C20" s="1617"/>
      <c r="D20" s="1635" t="s">
        <v>841</v>
      </c>
      <c r="E20" s="1635"/>
      <c r="F20" s="1635"/>
      <c r="G20" s="1635"/>
      <c r="H20" s="1617" t="s">
        <v>134</v>
      </c>
      <c r="I20" s="1617"/>
      <c r="J20" s="1636" t="s">
        <v>842</v>
      </c>
      <c r="K20" s="1636"/>
      <c r="L20" s="1636"/>
      <c r="M20" s="1636"/>
    </row>
    <row r="21" spans="1:34" ht="24" customHeight="1">
      <c r="A21" s="284"/>
      <c r="B21" s="1617" t="s">
        <v>807</v>
      </c>
      <c r="C21" s="1617"/>
      <c r="D21" s="1637" t="s">
        <v>843</v>
      </c>
      <c r="E21" s="1637"/>
      <c r="F21" s="1637"/>
      <c r="G21" s="1637"/>
      <c r="H21" s="1617" t="s">
        <v>134</v>
      </c>
      <c r="I21" s="1617"/>
      <c r="J21" s="1638" t="s">
        <v>844</v>
      </c>
      <c r="K21" s="1638"/>
      <c r="L21" s="1638"/>
      <c r="M21" s="1638"/>
    </row>
    <row r="22" spans="1:34" ht="24" customHeight="1">
      <c r="A22" s="284"/>
      <c r="B22" s="1617" t="s">
        <v>134</v>
      </c>
      <c r="C22" s="1617"/>
      <c r="D22" s="1637" t="s">
        <v>909</v>
      </c>
      <c r="E22" s="1637"/>
      <c r="F22" s="1637"/>
      <c r="G22" s="1637"/>
      <c r="H22" s="1613" t="s">
        <v>807</v>
      </c>
      <c r="I22" s="1614"/>
      <c r="J22" s="1673" t="s">
        <v>910</v>
      </c>
      <c r="K22" s="1674"/>
      <c r="L22" s="1674"/>
      <c r="M22" s="1675"/>
    </row>
    <row r="23" spans="1:34" ht="24" customHeight="1">
      <c r="A23" s="284"/>
      <c r="B23" s="1617" t="s">
        <v>807</v>
      </c>
      <c r="C23" s="1617"/>
      <c r="D23" s="1637" t="s">
        <v>847</v>
      </c>
      <c r="E23" s="1637"/>
      <c r="F23" s="1637"/>
      <c r="G23" s="1637"/>
      <c r="H23" s="1615"/>
      <c r="I23" s="1616"/>
      <c r="J23" s="1676" t="s">
        <v>911</v>
      </c>
      <c r="K23" s="1677"/>
      <c r="L23" s="1677"/>
      <c r="M23" s="1678"/>
    </row>
    <row r="24" spans="1:34" ht="108.4" customHeight="1">
      <c r="A24" s="284"/>
      <c r="B24" s="1672" t="s">
        <v>912</v>
      </c>
      <c r="C24" s="1672"/>
      <c r="D24" s="1672"/>
      <c r="E24" s="1672"/>
      <c r="F24" s="1672"/>
      <c r="G24" s="1672"/>
      <c r="H24" s="1672"/>
      <c r="I24" s="1672"/>
      <c r="J24" s="1672"/>
      <c r="K24" s="1672"/>
      <c r="L24" s="1672"/>
      <c r="M24" s="1672"/>
    </row>
    <row r="25" spans="1:34" ht="25.7" customHeight="1">
      <c r="A25" s="284"/>
      <c r="B25" s="1607" t="s">
        <v>849</v>
      </c>
      <c r="C25" s="1607"/>
      <c r="D25" s="1607"/>
      <c r="E25" s="1607"/>
      <c r="F25" s="1607"/>
      <c r="G25" s="1607"/>
      <c r="H25" s="1607"/>
      <c r="I25" s="1607"/>
      <c r="J25" s="1607"/>
      <c r="K25" s="1607"/>
      <c r="L25" s="1607"/>
      <c r="M25" s="1607"/>
      <c r="N25" s="278"/>
      <c r="O25" s="278"/>
      <c r="P25" s="278"/>
      <c r="Q25" s="278"/>
      <c r="R25" s="278"/>
      <c r="S25" s="278"/>
      <c r="T25" s="278"/>
      <c r="U25" s="278"/>
      <c r="V25" s="278"/>
      <c r="W25" s="278"/>
      <c r="X25" s="278"/>
      <c r="Y25" s="278"/>
      <c r="Z25" s="278"/>
      <c r="AA25" s="278"/>
      <c r="AB25" s="278"/>
      <c r="AC25" s="278"/>
      <c r="AD25" s="278"/>
      <c r="AE25" s="278"/>
      <c r="AF25" s="278"/>
      <c r="AG25" s="278"/>
      <c r="AH25" s="278"/>
    </row>
    <row r="26" spans="1:34" ht="20.100000000000001" customHeight="1">
      <c r="A26" s="284"/>
      <c r="B26" s="290"/>
      <c r="C26" s="290"/>
      <c r="D26" s="290"/>
      <c r="E26" s="290"/>
      <c r="F26" s="290"/>
      <c r="G26" s="290"/>
      <c r="H26" s="290"/>
      <c r="I26" s="290"/>
      <c r="J26" s="290"/>
      <c r="K26" s="290"/>
      <c r="L26" s="290"/>
      <c r="M26" s="290"/>
      <c r="N26" s="290"/>
      <c r="O26" s="278"/>
      <c r="P26" s="278"/>
      <c r="Q26" s="278"/>
      <c r="R26" s="278"/>
      <c r="S26" s="278"/>
      <c r="T26" s="278"/>
      <c r="U26" s="278"/>
      <c r="V26" s="278"/>
      <c r="W26" s="278"/>
      <c r="X26" s="278"/>
      <c r="Y26" s="278"/>
      <c r="Z26" s="278"/>
      <c r="AA26" s="278"/>
      <c r="AB26" s="278"/>
      <c r="AC26" s="278"/>
      <c r="AD26" s="278"/>
      <c r="AE26" s="278"/>
      <c r="AF26" s="278"/>
      <c r="AG26" s="278"/>
      <c r="AH26" s="278"/>
    </row>
    <row r="27" spans="1:34" s="275" customFormat="1" ht="22.5" customHeight="1">
      <c r="A27" s="280"/>
      <c r="B27" s="275" t="s">
        <v>913</v>
      </c>
      <c r="M27" s="276"/>
      <c r="N27" s="276"/>
      <c r="Q27" s="289"/>
    </row>
    <row r="28" spans="1:34" ht="24" customHeight="1" thickBot="1">
      <c r="A28" s="284"/>
      <c r="B28" s="1597" t="s">
        <v>840</v>
      </c>
      <c r="C28" s="1597"/>
      <c r="D28" s="1624" t="s">
        <v>914</v>
      </c>
      <c r="E28" s="1624"/>
      <c r="F28" s="1624"/>
      <c r="G28" s="1624"/>
      <c r="H28" s="1624" t="s">
        <v>840</v>
      </c>
      <c r="I28" s="1624"/>
      <c r="J28" s="1624" t="s">
        <v>914</v>
      </c>
      <c r="K28" s="1624"/>
      <c r="L28" s="1624"/>
      <c r="M28" s="1624"/>
    </row>
    <row r="29" spans="1:34" ht="24" customHeight="1" thickTop="1">
      <c r="A29" s="284"/>
      <c r="B29" s="1608" t="s">
        <v>807</v>
      </c>
      <c r="C29" s="1609"/>
      <c r="D29" s="1635" t="s">
        <v>915</v>
      </c>
      <c r="E29" s="1635"/>
      <c r="F29" s="1635"/>
      <c r="G29" s="1635"/>
      <c r="H29" s="1617" t="s">
        <v>134</v>
      </c>
      <c r="I29" s="1617"/>
      <c r="J29" s="1636" t="s">
        <v>916</v>
      </c>
      <c r="K29" s="1636"/>
      <c r="L29" s="1636"/>
      <c r="M29" s="1636"/>
    </row>
    <row r="30" spans="1:34" ht="23.85" customHeight="1">
      <c r="A30" s="284"/>
      <c r="B30" s="1617" t="s">
        <v>134</v>
      </c>
      <c r="C30" s="1617"/>
      <c r="D30" s="1637" t="s">
        <v>917</v>
      </c>
      <c r="E30" s="1637"/>
      <c r="F30" s="1637"/>
      <c r="G30" s="1637"/>
      <c r="H30" s="1617" t="s">
        <v>134</v>
      </c>
      <c r="I30" s="1617"/>
      <c r="J30" s="1638" t="s">
        <v>918</v>
      </c>
      <c r="K30" s="1638"/>
      <c r="L30" s="1638"/>
      <c r="M30" s="1638"/>
    </row>
    <row r="31" spans="1:34" ht="23.85" customHeight="1">
      <c r="A31" s="284"/>
      <c r="B31" s="1617" t="s">
        <v>807</v>
      </c>
      <c r="C31" s="1617"/>
      <c r="D31" s="1637" t="s">
        <v>919</v>
      </c>
      <c r="E31" s="1637"/>
      <c r="F31" s="1637"/>
      <c r="G31" s="1637"/>
      <c r="H31" s="1617" t="s">
        <v>134</v>
      </c>
      <c r="I31" s="1617"/>
      <c r="J31" s="1638" t="s">
        <v>920</v>
      </c>
      <c r="K31" s="1638"/>
      <c r="L31" s="1638"/>
      <c r="M31" s="1638"/>
    </row>
    <row r="32" spans="1:34" ht="24" customHeight="1">
      <c r="A32" s="284"/>
      <c r="B32" s="1617" t="s">
        <v>807</v>
      </c>
      <c r="C32" s="1617"/>
      <c r="D32" s="1637" t="s">
        <v>921</v>
      </c>
      <c r="E32" s="1637"/>
      <c r="F32" s="1637"/>
      <c r="G32" s="1637"/>
      <c r="H32" s="1617" t="s">
        <v>807</v>
      </c>
      <c r="I32" s="1617"/>
      <c r="J32" s="1638" t="s">
        <v>922</v>
      </c>
      <c r="K32" s="1638"/>
      <c r="L32" s="1638"/>
      <c r="M32" s="1638"/>
    </row>
    <row r="33" spans="1:34" ht="24" customHeight="1">
      <c r="A33" s="284"/>
      <c r="B33" s="1617" t="s">
        <v>807</v>
      </c>
      <c r="C33" s="1617"/>
      <c r="D33" s="1637" t="s">
        <v>923</v>
      </c>
      <c r="E33" s="1637"/>
      <c r="F33" s="1637"/>
      <c r="G33" s="1637"/>
      <c r="H33" s="1613" t="s">
        <v>807</v>
      </c>
      <c r="I33" s="1614"/>
      <c r="J33" s="1679" t="s">
        <v>924</v>
      </c>
      <c r="K33" s="1680"/>
      <c r="L33" s="1680"/>
      <c r="M33" s="1681"/>
    </row>
    <row r="34" spans="1:34" ht="24" customHeight="1">
      <c r="A34" s="284"/>
      <c r="B34" s="1617" t="s">
        <v>134</v>
      </c>
      <c r="C34" s="1617"/>
      <c r="D34" s="1638" t="s">
        <v>925</v>
      </c>
      <c r="E34" s="1638"/>
      <c r="F34" s="1638"/>
      <c r="G34" s="1638"/>
      <c r="H34" s="1615"/>
      <c r="I34" s="1616"/>
      <c r="J34" s="1676" t="s">
        <v>926</v>
      </c>
      <c r="K34" s="1677"/>
      <c r="L34" s="1677"/>
      <c r="M34" s="1678"/>
    </row>
    <row r="35" spans="1:34" ht="20.100000000000001" customHeight="1">
      <c r="A35" s="284"/>
      <c r="B35" s="290"/>
      <c r="C35" s="290"/>
      <c r="D35" s="290"/>
      <c r="E35" s="290"/>
      <c r="F35" s="290"/>
      <c r="G35" s="290"/>
      <c r="H35" s="290"/>
      <c r="I35" s="290"/>
      <c r="J35" s="290"/>
      <c r="K35" s="290"/>
      <c r="L35" s="290"/>
      <c r="M35" s="290"/>
      <c r="N35" s="290"/>
      <c r="O35" s="278"/>
      <c r="P35" s="278"/>
      <c r="Q35" s="278"/>
      <c r="X35" s="278"/>
      <c r="Y35" s="278"/>
      <c r="Z35" s="278"/>
      <c r="AA35" s="278"/>
      <c r="AB35" s="278"/>
      <c r="AC35" s="278"/>
      <c r="AD35" s="278"/>
      <c r="AE35" s="278"/>
      <c r="AF35" s="278"/>
      <c r="AG35" s="278"/>
      <c r="AH35" s="278"/>
    </row>
    <row r="36" spans="1:34" s="275" customFormat="1" ht="22.5" customHeight="1">
      <c r="A36" s="280"/>
      <c r="B36" s="275" t="s">
        <v>927</v>
      </c>
      <c r="M36" s="276"/>
      <c r="N36" s="276"/>
      <c r="Q36" s="289"/>
    </row>
    <row r="37" spans="1:34" ht="24" customHeight="1">
      <c r="A37" s="284"/>
      <c r="B37" s="1604" t="s">
        <v>871</v>
      </c>
      <c r="C37" s="1604"/>
      <c r="D37" s="1604"/>
      <c r="E37" s="1604"/>
      <c r="F37" s="1604"/>
      <c r="G37" s="1604"/>
      <c r="H37" s="1604"/>
      <c r="I37" s="1604"/>
      <c r="J37" s="1604"/>
      <c r="K37" s="1604"/>
      <c r="L37" s="1604"/>
      <c r="M37" s="1604"/>
      <c r="N37" s="1604"/>
    </row>
    <row r="38" spans="1:34" ht="24" customHeight="1">
      <c r="A38" s="284"/>
      <c r="B38" s="1637" t="s">
        <v>804</v>
      </c>
      <c r="C38" s="1637"/>
      <c r="D38" s="1637"/>
      <c r="E38" s="1637"/>
      <c r="F38" s="1637"/>
      <c r="G38" s="1637"/>
      <c r="H38" s="295" t="s">
        <v>872</v>
      </c>
      <c r="I38" s="295" t="s">
        <v>873</v>
      </c>
      <c r="J38" s="295" t="s">
        <v>874</v>
      </c>
      <c r="K38" s="295" t="s">
        <v>875</v>
      </c>
      <c r="L38" s="295" t="s">
        <v>876</v>
      </c>
      <c r="M38" s="295" t="s">
        <v>877</v>
      </c>
      <c r="N38" s="295" t="s">
        <v>878</v>
      </c>
    </row>
    <row r="39" spans="1:34" ht="23.85" customHeight="1">
      <c r="A39" s="284"/>
      <c r="B39" s="1604" t="s">
        <v>928</v>
      </c>
      <c r="C39" s="1604"/>
      <c r="D39" s="1604"/>
      <c r="E39" s="1604"/>
      <c r="F39" s="1604"/>
      <c r="G39" s="1604"/>
      <c r="H39" s="579" t="s">
        <v>134</v>
      </c>
      <c r="I39" s="579" t="s">
        <v>807</v>
      </c>
      <c r="J39" s="579" t="s">
        <v>807</v>
      </c>
      <c r="K39" s="579" t="s">
        <v>134</v>
      </c>
      <c r="L39" s="579" t="s">
        <v>134</v>
      </c>
      <c r="M39" s="579" t="s">
        <v>134</v>
      </c>
      <c r="N39" s="579" t="s">
        <v>134</v>
      </c>
    </row>
    <row r="40" spans="1:34" ht="24" customHeight="1">
      <c r="A40" s="284"/>
      <c r="B40" s="1604" t="s">
        <v>929</v>
      </c>
      <c r="C40" s="1604"/>
      <c r="D40" s="1604"/>
      <c r="E40" s="1604"/>
      <c r="F40" s="1604"/>
      <c r="G40" s="1604"/>
      <c r="H40" s="579" t="s">
        <v>807</v>
      </c>
      <c r="I40" s="579" t="s">
        <v>807</v>
      </c>
      <c r="J40" s="579" t="s">
        <v>807</v>
      </c>
      <c r="K40" s="579" t="s">
        <v>134</v>
      </c>
      <c r="L40" s="579" t="s">
        <v>134</v>
      </c>
      <c r="M40" s="579" t="s">
        <v>134</v>
      </c>
      <c r="N40" s="579" t="s">
        <v>134</v>
      </c>
    </row>
    <row r="41" spans="1:34" ht="36.4" customHeight="1">
      <c r="A41" s="284"/>
      <c r="B41" s="1604" t="s">
        <v>930</v>
      </c>
      <c r="C41" s="1604"/>
      <c r="D41" s="1604"/>
      <c r="E41" s="1604"/>
      <c r="F41" s="1604"/>
      <c r="G41" s="1604"/>
      <c r="H41" s="579" t="s">
        <v>134</v>
      </c>
      <c r="I41" s="579" t="s">
        <v>134</v>
      </c>
      <c r="J41" s="579" t="s">
        <v>807</v>
      </c>
      <c r="K41" s="579" t="s">
        <v>134</v>
      </c>
      <c r="L41" s="579" t="s">
        <v>134</v>
      </c>
      <c r="M41" s="579" t="s">
        <v>134</v>
      </c>
      <c r="N41" s="579" t="s">
        <v>134</v>
      </c>
    </row>
    <row r="42" spans="1:34" ht="24" customHeight="1">
      <c r="A42" s="284"/>
      <c r="B42" s="1604" t="s">
        <v>931</v>
      </c>
      <c r="C42" s="1604"/>
      <c r="D42" s="1604"/>
      <c r="E42" s="1604"/>
      <c r="F42" s="1604"/>
      <c r="G42" s="1604"/>
      <c r="H42" s="299"/>
      <c r="I42" s="579" t="s">
        <v>134</v>
      </c>
      <c r="J42" s="579" t="s">
        <v>134</v>
      </c>
      <c r="K42" s="579" t="s">
        <v>807</v>
      </c>
      <c r="L42" s="579" t="s">
        <v>807</v>
      </c>
      <c r="M42" s="579" t="s">
        <v>807</v>
      </c>
      <c r="N42" s="299"/>
    </row>
    <row r="43" spans="1:34" ht="239.25" customHeight="1">
      <c r="A43" s="284"/>
      <c r="B43" s="1672" t="s">
        <v>932</v>
      </c>
      <c r="C43" s="1672"/>
      <c r="D43" s="1672"/>
      <c r="E43" s="1672"/>
      <c r="F43" s="1672"/>
      <c r="G43" s="1672"/>
      <c r="H43" s="1672"/>
      <c r="I43" s="1672"/>
      <c r="J43" s="1672"/>
      <c r="K43" s="1672"/>
      <c r="L43" s="1672"/>
      <c r="M43" s="1672"/>
      <c r="N43" s="1672"/>
    </row>
    <row r="44" spans="1:34" ht="20.100000000000001" customHeight="1"/>
    <row r="45" spans="1:34" s="275" customFormat="1" ht="22.5" customHeight="1">
      <c r="A45" s="280"/>
      <c r="B45" s="275" t="s">
        <v>933</v>
      </c>
      <c r="M45" s="289"/>
    </row>
    <row r="46" spans="1:34" ht="24" customHeight="1" thickBot="1">
      <c r="A46" s="284"/>
      <c r="B46" s="1597" t="s">
        <v>934</v>
      </c>
      <c r="C46" s="1597"/>
      <c r="D46" s="1597" t="s">
        <v>935</v>
      </c>
      <c r="E46" s="1597"/>
      <c r="F46" s="1597"/>
      <c r="G46" s="1597" t="s">
        <v>936</v>
      </c>
      <c r="H46" s="1597"/>
      <c r="I46" s="1597"/>
      <c r="J46" s="1597" t="s">
        <v>937</v>
      </c>
      <c r="K46" s="1597"/>
      <c r="L46" s="1597"/>
    </row>
    <row r="47" spans="1:34" ht="23.1" customHeight="1" thickTop="1">
      <c r="A47" s="284"/>
      <c r="B47" s="1635" t="s">
        <v>938</v>
      </c>
      <c r="C47" s="1635"/>
      <c r="D47" s="1682" t="str">
        <f>別紙１④!K11</f>
        <v>丙川　三郎</v>
      </c>
      <c r="E47" s="1682"/>
      <c r="F47" s="1682"/>
      <c r="G47" s="1683" t="s">
        <v>343</v>
      </c>
      <c r="H47" s="1683"/>
      <c r="I47" s="1683"/>
      <c r="J47" s="343" t="s">
        <v>669</v>
      </c>
      <c r="K47" s="582">
        <v>10</v>
      </c>
      <c r="L47" s="345" t="s">
        <v>251</v>
      </c>
    </row>
    <row r="48" spans="1:34" ht="23.1" customHeight="1">
      <c r="A48" s="284"/>
      <c r="B48" s="1637" t="s">
        <v>939</v>
      </c>
      <c r="C48" s="1637"/>
      <c r="D48" s="1682" t="str">
        <f>別紙１④!K12</f>
        <v>丙川　三郎</v>
      </c>
      <c r="E48" s="1682"/>
      <c r="F48" s="1682"/>
      <c r="G48" s="1605" t="s">
        <v>940</v>
      </c>
      <c r="H48" s="1605"/>
      <c r="I48" s="1605"/>
      <c r="J48" s="344" t="s">
        <v>669</v>
      </c>
      <c r="K48" s="583">
        <v>12</v>
      </c>
      <c r="L48" s="346" t="s">
        <v>251</v>
      </c>
    </row>
    <row r="49" spans="1:13" ht="23.1" customHeight="1">
      <c r="A49" s="284"/>
      <c r="B49" s="1637" t="s">
        <v>941</v>
      </c>
      <c r="C49" s="1637"/>
      <c r="D49" s="1682" t="str">
        <f>別紙１④!K13</f>
        <v>乙山　次郎</v>
      </c>
      <c r="E49" s="1682"/>
      <c r="F49" s="1682"/>
      <c r="G49" s="1605" t="s">
        <v>942</v>
      </c>
      <c r="H49" s="1605"/>
      <c r="I49" s="1605"/>
      <c r="J49" s="344" t="s">
        <v>669</v>
      </c>
      <c r="K49" s="583">
        <v>12</v>
      </c>
      <c r="L49" s="346" t="s">
        <v>251</v>
      </c>
    </row>
    <row r="50" spans="1:13" ht="23.1" customHeight="1">
      <c r="B50" s="1637" t="s">
        <v>943</v>
      </c>
      <c r="C50" s="1637"/>
      <c r="D50" s="1682" t="str">
        <f>別紙１④!K14</f>
        <v>乙山　次郎</v>
      </c>
      <c r="E50" s="1682"/>
      <c r="F50" s="1682"/>
      <c r="G50" s="1605" t="s">
        <v>944</v>
      </c>
      <c r="H50" s="1605"/>
      <c r="I50" s="1605"/>
      <c r="J50" s="344" t="s">
        <v>669</v>
      </c>
      <c r="K50" s="583">
        <v>10</v>
      </c>
      <c r="L50" s="346" t="s">
        <v>251</v>
      </c>
    </row>
    <row r="51" spans="1:13" ht="23.1" customHeight="1">
      <c r="B51" s="1637" t="s">
        <v>945</v>
      </c>
      <c r="C51" s="1637"/>
      <c r="D51" s="1682" t="str">
        <f>別紙１④!K15</f>
        <v>甲田　太郎</v>
      </c>
      <c r="E51" s="1682"/>
      <c r="F51" s="1682"/>
      <c r="G51" s="1605" t="s">
        <v>940</v>
      </c>
      <c r="H51" s="1605"/>
      <c r="I51" s="1605"/>
      <c r="J51" s="344" t="s">
        <v>669</v>
      </c>
      <c r="K51" s="583">
        <v>12</v>
      </c>
      <c r="L51" s="346" t="s">
        <v>251</v>
      </c>
    </row>
    <row r="52" spans="1:13" ht="23.1" customHeight="1">
      <c r="B52" s="1637" t="s">
        <v>946</v>
      </c>
      <c r="C52" s="1637"/>
      <c r="D52" s="1682" t="str">
        <f>別紙１④!K16</f>
        <v>丙川　三郎</v>
      </c>
      <c r="E52" s="1682"/>
      <c r="F52" s="1682"/>
      <c r="G52" s="1605" t="s">
        <v>942</v>
      </c>
      <c r="H52" s="1605"/>
      <c r="I52" s="1605"/>
      <c r="J52" s="344" t="s">
        <v>669</v>
      </c>
      <c r="K52" s="583">
        <v>10</v>
      </c>
      <c r="L52" s="346" t="s">
        <v>251</v>
      </c>
    </row>
    <row r="53" spans="1:13" ht="57" customHeight="1">
      <c r="B53" s="1607" t="s">
        <v>947</v>
      </c>
      <c r="C53" s="1607"/>
      <c r="D53" s="1607"/>
      <c r="E53" s="1607"/>
      <c r="F53" s="1607"/>
      <c r="G53" s="1607"/>
      <c r="H53" s="1607"/>
      <c r="I53" s="1607"/>
      <c r="J53" s="1607"/>
      <c r="K53" s="1607"/>
      <c r="L53" s="1607"/>
    </row>
    <row r="54" spans="1:13" ht="20.100000000000001" customHeight="1"/>
    <row r="55" spans="1:13" s="275" customFormat="1" ht="22.5" customHeight="1">
      <c r="A55" s="280"/>
      <c r="B55" s="275" t="s">
        <v>948</v>
      </c>
      <c r="M55" s="289"/>
    </row>
    <row r="56" spans="1:13" ht="119.65" customHeight="1">
      <c r="A56" s="284"/>
      <c r="B56" s="1650" t="s">
        <v>949</v>
      </c>
      <c r="C56" s="1651"/>
      <c r="D56" s="1651"/>
      <c r="E56" s="1651"/>
      <c r="F56" s="1651"/>
      <c r="G56" s="1651"/>
      <c r="H56" s="1651"/>
      <c r="I56" s="1651"/>
      <c r="J56" s="1651"/>
      <c r="K56" s="1651"/>
      <c r="L56" s="1652"/>
    </row>
    <row r="57" spans="1:13" ht="238.5" customHeight="1">
      <c r="A57" s="284"/>
      <c r="B57" s="1684" t="s">
        <v>950</v>
      </c>
      <c r="C57" s="1685"/>
      <c r="D57" s="1685"/>
      <c r="E57" s="1685"/>
      <c r="F57" s="1685"/>
      <c r="G57" s="1685"/>
      <c r="H57" s="1685"/>
      <c r="I57" s="1685"/>
      <c r="J57" s="1685"/>
      <c r="K57" s="1685"/>
      <c r="L57" s="1686"/>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heetViews>
  <sheetFormatPr defaultColWidth="4.125" defaultRowHeight="18" customHeight="1"/>
  <cols>
    <col min="1" max="1" width="1.875" style="277" customWidth="1"/>
    <col min="2" max="14" width="9.6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19.7" customHeight="1">
      <c r="A2" s="280" t="s">
        <v>951</v>
      </c>
      <c r="B2" s="281"/>
      <c r="C2" s="281"/>
      <c r="D2" s="281"/>
      <c r="E2" s="281"/>
      <c r="F2" s="281"/>
      <c r="G2" s="281"/>
      <c r="H2" s="281"/>
      <c r="I2" s="281"/>
    </row>
    <row r="3" spans="1:34" ht="23.25" customHeight="1">
      <c r="A3" s="284"/>
      <c r="B3" s="1618" t="s">
        <v>952</v>
      </c>
      <c r="C3" s="1618"/>
      <c r="D3" s="1618"/>
      <c r="E3" s="1618"/>
      <c r="F3" s="1618"/>
      <c r="G3" s="1618"/>
      <c r="H3" s="1618"/>
      <c r="I3" s="1618"/>
      <c r="J3" s="1618"/>
      <c r="K3" s="1618"/>
      <c r="L3" s="1618"/>
      <c r="M3" s="1618"/>
      <c r="N3" s="1618"/>
      <c r="O3" s="278"/>
      <c r="P3" s="278"/>
      <c r="Q3" s="278"/>
      <c r="R3" s="278"/>
      <c r="S3" s="278"/>
      <c r="T3" s="278"/>
      <c r="U3" s="278"/>
      <c r="V3" s="278"/>
      <c r="W3" s="278"/>
      <c r="X3" s="278"/>
      <c r="Y3" s="278"/>
      <c r="Z3" s="278"/>
      <c r="AA3" s="278"/>
      <c r="AB3" s="278"/>
      <c r="AC3" s="278"/>
      <c r="AD3" s="278"/>
      <c r="AE3" s="278"/>
      <c r="AF3" s="278"/>
      <c r="AG3" s="278"/>
      <c r="AH3" s="278"/>
    </row>
    <row r="4" spans="1:34" ht="20.100000000000001" customHeight="1">
      <c r="A4" s="284"/>
      <c r="B4" s="285"/>
      <c r="C4" s="285"/>
      <c r="D4" s="286"/>
      <c r="E4" s="286"/>
      <c r="F4" s="286"/>
      <c r="G4" s="286"/>
      <c r="H4" s="287"/>
      <c r="I4" s="287"/>
      <c r="J4" s="286"/>
      <c r="K4" s="286"/>
      <c r="L4" s="286"/>
      <c r="M4" s="288"/>
    </row>
    <row r="5" spans="1:34" ht="20.25" customHeight="1">
      <c r="A5" s="280"/>
      <c r="B5" s="275" t="s">
        <v>953</v>
      </c>
      <c r="C5" s="275"/>
      <c r="F5" s="282"/>
      <c r="G5" s="282"/>
      <c r="H5" s="283"/>
      <c r="I5" s="283"/>
    </row>
    <row r="6" spans="1:34" ht="20.100000000000001" customHeight="1">
      <c r="A6" s="284"/>
      <c r="B6" s="1664" t="s">
        <v>954</v>
      </c>
      <c r="C6" s="1664"/>
      <c r="D6" s="1664"/>
      <c r="E6" s="1664"/>
      <c r="F6" s="1664"/>
      <c r="G6" s="1664"/>
      <c r="H6" s="287"/>
      <c r="I6" s="287"/>
      <c r="J6" s="286"/>
      <c r="K6" s="286"/>
      <c r="L6" s="286"/>
      <c r="M6" s="288"/>
    </row>
    <row r="7" spans="1:34" s="275" customFormat="1" ht="22.5" customHeight="1">
      <c r="A7" s="280"/>
      <c r="B7" s="275" t="s">
        <v>955</v>
      </c>
      <c r="M7" s="276"/>
      <c r="N7" s="276"/>
      <c r="Q7" s="289"/>
    </row>
    <row r="8" spans="1:34" ht="24" customHeight="1" thickBot="1">
      <c r="A8" s="284"/>
      <c r="B8" s="1687" t="s">
        <v>956</v>
      </c>
      <c r="C8" s="1687"/>
      <c r="D8" s="1687"/>
      <c r="E8" s="1687"/>
      <c r="F8" s="1688" t="s">
        <v>957</v>
      </c>
      <c r="G8" s="1688"/>
      <c r="H8" s="1688"/>
      <c r="I8" s="1688"/>
      <c r="J8" s="1688"/>
      <c r="K8" s="1688"/>
    </row>
    <row r="9" spans="1:34" ht="25.15" customHeight="1" thickTop="1">
      <c r="A9" s="284"/>
      <c r="B9" s="1689" t="s">
        <v>958</v>
      </c>
      <c r="C9" s="1689"/>
      <c r="D9" s="1689"/>
      <c r="E9" s="1689"/>
      <c r="F9" s="1683" t="s">
        <v>959</v>
      </c>
      <c r="G9" s="1683"/>
      <c r="H9" s="1683"/>
      <c r="I9" s="1683"/>
      <c r="J9" s="1683"/>
      <c r="K9" s="1683"/>
    </row>
    <row r="10" spans="1:34" ht="25.15" customHeight="1">
      <c r="A10" s="284"/>
      <c r="B10" s="1690"/>
      <c r="C10" s="1690"/>
      <c r="D10" s="1690"/>
      <c r="E10" s="1690"/>
      <c r="F10" s="1605" t="s">
        <v>960</v>
      </c>
      <c r="G10" s="1605"/>
      <c r="H10" s="1605"/>
      <c r="I10" s="1605"/>
      <c r="J10" s="1605"/>
      <c r="K10" s="1605"/>
    </row>
    <row r="11" spans="1:34" ht="25.15" customHeight="1">
      <c r="A11" s="284"/>
      <c r="B11" s="1690"/>
      <c r="C11" s="1690"/>
      <c r="D11" s="1690"/>
      <c r="E11" s="1690"/>
      <c r="F11" s="1605" t="s">
        <v>961</v>
      </c>
      <c r="G11" s="1605"/>
      <c r="H11" s="1605"/>
      <c r="I11" s="1605"/>
      <c r="J11" s="1605"/>
      <c r="K11" s="1605"/>
    </row>
    <row r="12" spans="1:34" ht="25.15" customHeight="1">
      <c r="A12" s="284"/>
      <c r="B12" s="1690"/>
      <c r="C12" s="1690"/>
      <c r="D12" s="1690"/>
      <c r="E12" s="1690"/>
      <c r="F12" s="1605" t="s">
        <v>962</v>
      </c>
      <c r="G12" s="1605"/>
      <c r="H12" s="1605"/>
      <c r="I12" s="1605"/>
      <c r="J12" s="1605"/>
      <c r="K12" s="1605"/>
    </row>
    <row r="13" spans="1:34" ht="25.15" customHeight="1">
      <c r="A13" s="284"/>
      <c r="B13" s="1690" t="s">
        <v>963</v>
      </c>
      <c r="C13" s="1690"/>
      <c r="D13" s="1690"/>
      <c r="E13" s="1690"/>
      <c r="F13" s="1605" t="s">
        <v>964</v>
      </c>
      <c r="G13" s="1605"/>
      <c r="H13" s="1605"/>
      <c r="I13" s="1605"/>
      <c r="J13" s="1605"/>
      <c r="K13" s="1605"/>
    </row>
    <row r="14" spans="1:34" ht="25.15" customHeight="1">
      <c r="A14" s="284"/>
      <c r="B14" s="1690"/>
      <c r="C14" s="1690"/>
      <c r="D14" s="1690"/>
      <c r="E14" s="1690"/>
      <c r="F14" s="1605"/>
      <c r="G14" s="1605"/>
      <c r="H14" s="1605"/>
      <c r="I14" s="1605"/>
      <c r="J14" s="1605"/>
      <c r="K14" s="1605"/>
    </row>
    <row r="15" spans="1:34" ht="25.15" customHeight="1">
      <c r="A15" s="284"/>
      <c r="B15" s="1690"/>
      <c r="C15" s="1690"/>
      <c r="D15" s="1690"/>
      <c r="E15" s="1690"/>
      <c r="F15" s="1605"/>
      <c r="G15" s="1605"/>
      <c r="H15" s="1605"/>
      <c r="I15" s="1605"/>
      <c r="J15" s="1605"/>
      <c r="K15" s="1605"/>
    </row>
    <row r="16" spans="1:34" ht="25.15" customHeight="1">
      <c r="A16" s="284"/>
      <c r="B16" s="1690"/>
      <c r="C16" s="1690"/>
      <c r="D16" s="1690"/>
      <c r="E16" s="1690"/>
      <c r="F16" s="1605"/>
      <c r="G16" s="1605"/>
      <c r="H16" s="1605"/>
      <c r="I16" s="1605"/>
      <c r="J16" s="1605"/>
      <c r="K16" s="1605"/>
    </row>
    <row r="17" spans="1:34" ht="62.1" customHeight="1">
      <c r="A17" s="284"/>
      <c r="B17" s="1618" t="s">
        <v>965</v>
      </c>
      <c r="C17" s="1618"/>
      <c r="D17" s="1618"/>
      <c r="E17" s="1618"/>
      <c r="F17" s="1618"/>
      <c r="G17" s="1618"/>
      <c r="H17" s="1618"/>
      <c r="I17" s="1618"/>
      <c r="J17" s="1618"/>
      <c r="K17" s="161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row>
    <row r="18" spans="1:34" ht="20.100000000000001" customHeight="1">
      <c r="A18" s="284"/>
      <c r="B18" s="290"/>
      <c r="C18" s="290"/>
      <c r="D18" s="290"/>
      <c r="E18" s="290"/>
      <c r="F18" s="290"/>
      <c r="G18" s="290"/>
      <c r="H18" s="290"/>
      <c r="I18" s="290"/>
      <c r="J18" s="290"/>
      <c r="K18" s="290"/>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row>
    <row r="19" spans="1:34" s="275" customFormat="1" ht="22.5" customHeight="1">
      <c r="A19" s="280"/>
      <c r="B19" s="275" t="s">
        <v>966</v>
      </c>
      <c r="M19" s="276"/>
      <c r="N19" s="276"/>
      <c r="Q19" s="289"/>
    </row>
    <row r="20" spans="1:34" ht="24" customHeight="1" thickBot="1">
      <c r="A20" s="284"/>
      <c r="B20" s="1597" t="s">
        <v>967</v>
      </c>
      <c r="C20" s="1597"/>
      <c r="D20" s="1597"/>
      <c r="E20" s="1597"/>
      <c r="F20" s="1597"/>
      <c r="G20" s="1624" t="s">
        <v>968</v>
      </c>
      <c r="H20" s="1624"/>
      <c r="I20" s="1624"/>
      <c r="J20" s="1624"/>
    </row>
    <row r="21" spans="1:34" ht="25.15" customHeight="1" thickTop="1">
      <c r="A21" s="284"/>
      <c r="B21" s="1612" t="s">
        <v>958</v>
      </c>
      <c r="C21" s="1612"/>
      <c r="D21" s="1612"/>
      <c r="E21" s="1612"/>
      <c r="F21" s="1612"/>
      <c r="G21" s="1691">
        <f>COUNTIF(別紙１③!H7:H497,"L")</f>
        <v>3</v>
      </c>
      <c r="H21" s="1691"/>
      <c r="I21" s="1691"/>
      <c r="J21" s="1691"/>
    </row>
    <row r="22" spans="1:34" ht="25.15" customHeight="1">
      <c r="A22" s="284"/>
      <c r="B22" s="1604" t="s">
        <v>969</v>
      </c>
      <c r="C22" s="1604"/>
      <c r="D22" s="1604"/>
      <c r="E22" s="1604"/>
      <c r="F22" s="1604"/>
      <c r="G22" s="1692">
        <v>5</v>
      </c>
      <c r="H22" s="1692"/>
      <c r="I22" s="1692"/>
      <c r="J22" s="1692"/>
    </row>
    <row r="23" spans="1:34" ht="25.15" customHeight="1">
      <c r="A23" s="284"/>
      <c r="B23" s="1604" t="s">
        <v>970</v>
      </c>
      <c r="C23" s="1604"/>
      <c r="D23" s="1604"/>
      <c r="E23" s="1604"/>
      <c r="F23" s="1604"/>
      <c r="G23" s="1693">
        <f>SUM(G21:J22)</f>
        <v>8</v>
      </c>
      <c r="H23" s="1693"/>
      <c r="I23" s="1693"/>
      <c r="J23" s="1693"/>
    </row>
    <row r="24" spans="1:34" ht="23.25" customHeight="1">
      <c r="A24" s="284"/>
      <c r="B24" s="298" t="s">
        <v>971</v>
      </c>
      <c r="C24" s="298"/>
      <c r="D24" s="298"/>
      <c r="E24" s="298"/>
      <c r="F24" s="298"/>
      <c r="G24" s="298"/>
      <c r="H24" s="298"/>
      <c r="I24" s="298"/>
      <c r="J24" s="298"/>
      <c r="L24" s="302">
        <f>COUNTIF(別紙１③!H7:H497,"A")+COUNTIF(別紙１③!H7:H497,"B")+COUNTIF(別紙１③!H7:H497,"L")+G22</f>
        <v>18</v>
      </c>
    </row>
    <row r="25" spans="1:34" ht="22.5" customHeight="1">
      <c r="A25" s="284"/>
      <c r="B25" s="298" t="s">
        <v>972</v>
      </c>
      <c r="C25" s="301"/>
      <c r="D25" s="301"/>
      <c r="E25" s="303">
        <f>ROUNDDOWN((G23/L24)*100,0)</f>
        <v>44</v>
      </c>
      <c r="F25" s="304" t="s">
        <v>973</v>
      </c>
      <c r="G25" s="298" t="s">
        <v>974</v>
      </c>
      <c r="H25" s="300"/>
      <c r="I25" s="300"/>
      <c r="J25" s="300"/>
    </row>
    <row r="26" spans="1:34" ht="13.5" customHeight="1">
      <c r="A26" s="284"/>
      <c r="B26" s="298"/>
      <c r="C26" s="301"/>
      <c r="D26" s="301"/>
      <c r="E26" s="301"/>
      <c r="F26" s="298"/>
      <c r="G26" s="298"/>
      <c r="H26" s="300"/>
      <c r="I26" s="300"/>
      <c r="J26" s="300"/>
    </row>
    <row r="27" spans="1:34" ht="102" customHeight="1">
      <c r="A27" s="284"/>
      <c r="B27" s="1618" t="s">
        <v>975</v>
      </c>
      <c r="C27" s="1618"/>
      <c r="D27" s="1618"/>
      <c r="E27" s="1618"/>
      <c r="F27" s="1618"/>
      <c r="G27" s="1618"/>
      <c r="H27" s="1618"/>
      <c r="I27" s="1618"/>
      <c r="J27" s="161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row>
    <row r="28" spans="1:34" ht="20.100000000000001" customHeight="1">
      <c r="A28" s="284"/>
      <c r="B28" s="290"/>
      <c r="C28" s="290"/>
      <c r="D28" s="290"/>
      <c r="E28" s="290"/>
      <c r="F28" s="290"/>
      <c r="G28" s="290"/>
      <c r="H28" s="290"/>
      <c r="I28" s="290"/>
      <c r="J28" s="290"/>
      <c r="K28" s="290"/>
      <c r="L28" s="290"/>
      <c r="M28" s="290"/>
      <c r="N28" s="290"/>
      <c r="O28" s="278"/>
      <c r="P28" s="278"/>
      <c r="Q28" s="278"/>
      <c r="R28" s="278"/>
      <c r="S28" s="278"/>
      <c r="T28" s="278"/>
      <c r="U28" s="278"/>
      <c r="V28" s="278"/>
      <c r="W28" s="278"/>
      <c r="X28" s="278"/>
      <c r="Y28" s="278"/>
      <c r="Z28" s="278"/>
      <c r="AA28" s="278"/>
      <c r="AB28" s="278"/>
      <c r="AC28" s="278"/>
      <c r="AD28" s="278"/>
      <c r="AE28" s="278"/>
      <c r="AF28" s="278"/>
      <c r="AG28" s="278"/>
      <c r="AH28" s="278"/>
    </row>
    <row r="29" spans="1:34" s="275" customFormat="1" ht="22.5" customHeight="1">
      <c r="A29" s="280"/>
      <c r="B29" s="275" t="s">
        <v>976</v>
      </c>
      <c r="M29" s="276"/>
      <c r="N29" s="276"/>
      <c r="Q29" s="289"/>
    </row>
    <row r="30" spans="1:34" ht="24" customHeight="1" thickBot="1">
      <c r="A30" s="284"/>
      <c r="B30" s="1597" t="s">
        <v>840</v>
      </c>
      <c r="C30" s="1597"/>
      <c r="D30" s="1624"/>
      <c r="E30" s="1624"/>
      <c r="F30" s="1624"/>
      <c r="G30" s="1624"/>
      <c r="H30" s="1624" t="s">
        <v>840</v>
      </c>
      <c r="I30" s="1624"/>
      <c r="J30" s="1624"/>
      <c r="K30" s="1624"/>
      <c r="L30" s="1624"/>
      <c r="M30" s="1624"/>
    </row>
    <row r="31" spans="1:34" ht="23.85" customHeight="1" thickTop="1">
      <c r="A31" s="284"/>
      <c r="B31" s="1608" t="s">
        <v>807</v>
      </c>
      <c r="C31" s="1609"/>
      <c r="D31" s="1635" t="s">
        <v>977</v>
      </c>
      <c r="E31" s="1635"/>
      <c r="F31" s="1635"/>
      <c r="G31" s="1635"/>
      <c r="H31" s="1617" t="s">
        <v>134</v>
      </c>
      <c r="I31" s="1617"/>
      <c r="J31" s="1636" t="s">
        <v>978</v>
      </c>
      <c r="K31" s="1636"/>
      <c r="L31" s="1636"/>
      <c r="M31" s="1636"/>
    </row>
    <row r="32" spans="1:34" ht="24" customHeight="1">
      <c r="A32" s="284"/>
      <c r="B32" s="1617" t="s">
        <v>807</v>
      </c>
      <c r="C32" s="1617"/>
      <c r="D32" s="1637" t="s">
        <v>979</v>
      </c>
      <c r="E32" s="1637"/>
      <c r="F32" s="1637"/>
      <c r="G32" s="1637"/>
      <c r="H32" s="1613" t="s">
        <v>807</v>
      </c>
      <c r="I32" s="1614"/>
      <c r="J32" s="1679" t="s">
        <v>980</v>
      </c>
      <c r="K32" s="1680"/>
      <c r="L32" s="1680"/>
      <c r="M32" s="1681"/>
    </row>
    <row r="33" spans="1:34" ht="24" customHeight="1">
      <c r="A33" s="284"/>
      <c r="B33" s="1617" t="s">
        <v>134</v>
      </c>
      <c r="C33" s="1617"/>
      <c r="D33" s="1637" t="s">
        <v>981</v>
      </c>
      <c r="E33" s="1637"/>
      <c r="F33" s="1637"/>
      <c r="G33" s="1637"/>
      <c r="H33" s="1615"/>
      <c r="I33" s="1616"/>
      <c r="J33" s="1676" t="s">
        <v>982</v>
      </c>
      <c r="K33" s="1677"/>
      <c r="L33" s="1677"/>
      <c r="M33" s="1678"/>
    </row>
    <row r="34" spans="1:34" ht="75.2" customHeight="1">
      <c r="A34" s="284"/>
      <c r="B34" s="1672" t="s">
        <v>983</v>
      </c>
      <c r="C34" s="1672"/>
      <c r="D34" s="1672"/>
      <c r="E34" s="1672"/>
      <c r="F34" s="1672"/>
      <c r="G34" s="1672"/>
      <c r="H34" s="1672"/>
      <c r="I34" s="1672"/>
      <c r="J34" s="1672"/>
      <c r="K34" s="1672"/>
      <c r="L34" s="1672"/>
      <c r="M34" s="1672"/>
    </row>
    <row r="35" spans="1:34" ht="40.15" customHeight="1">
      <c r="A35" s="284"/>
      <c r="B35" s="1607" t="s">
        <v>849</v>
      </c>
      <c r="C35" s="1607"/>
      <c r="D35" s="1607"/>
      <c r="E35" s="1607"/>
      <c r="F35" s="1607"/>
      <c r="G35" s="1607"/>
      <c r="H35" s="1607"/>
      <c r="I35" s="1607"/>
      <c r="J35" s="1607"/>
      <c r="K35" s="1607"/>
      <c r="L35" s="1607"/>
      <c r="M35" s="1607"/>
      <c r="N35" s="278"/>
      <c r="O35" s="278"/>
      <c r="P35" s="278"/>
      <c r="Q35" s="278"/>
      <c r="R35" s="278"/>
      <c r="S35" s="278"/>
      <c r="T35" s="278"/>
      <c r="U35" s="278"/>
      <c r="V35" s="278"/>
      <c r="W35" s="278"/>
      <c r="X35" s="278"/>
      <c r="Y35" s="278"/>
      <c r="Z35" s="278"/>
      <c r="AA35" s="278"/>
      <c r="AB35" s="278"/>
      <c r="AC35" s="278"/>
      <c r="AD35" s="278"/>
      <c r="AE35" s="278"/>
      <c r="AF35" s="278"/>
      <c r="AG35" s="278"/>
      <c r="AH35" s="278"/>
    </row>
    <row r="36" spans="1:34" ht="20.100000000000001" customHeight="1">
      <c r="A36" s="284"/>
      <c r="B36" s="290"/>
      <c r="C36" s="290"/>
      <c r="D36" s="290"/>
      <c r="E36" s="290"/>
      <c r="F36" s="290"/>
      <c r="G36" s="290"/>
      <c r="H36" s="290"/>
      <c r="I36" s="290"/>
      <c r="J36" s="290"/>
      <c r="K36" s="290"/>
      <c r="L36" s="290"/>
      <c r="M36" s="290"/>
      <c r="N36" s="290"/>
      <c r="O36" s="278"/>
      <c r="P36" s="278"/>
      <c r="Q36" s="278"/>
      <c r="R36" s="278"/>
      <c r="S36" s="278"/>
      <c r="T36" s="278"/>
      <c r="U36" s="278"/>
      <c r="V36" s="278"/>
      <c r="W36" s="278"/>
      <c r="X36" s="278"/>
      <c r="Y36" s="278"/>
      <c r="Z36" s="278"/>
      <c r="AA36" s="278"/>
      <c r="AB36" s="278"/>
      <c r="AC36" s="278"/>
      <c r="AD36" s="278"/>
      <c r="AE36" s="278"/>
      <c r="AF36" s="278"/>
      <c r="AG36" s="278"/>
      <c r="AH36" s="278"/>
    </row>
    <row r="37" spans="1:34" s="275" customFormat="1" ht="22.5" customHeight="1">
      <c r="A37" s="280"/>
      <c r="B37" s="275" t="s">
        <v>984</v>
      </c>
      <c r="M37" s="276"/>
      <c r="N37" s="276"/>
      <c r="Q37" s="289"/>
    </row>
    <row r="38" spans="1:34" ht="24" customHeight="1" thickBot="1">
      <c r="A38" s="284"/>
      <c r="B38" s="1597" t="s">
        <v>840</v>
      </c>
      <c r="C38" s="1597"/>
      <c r="D38" s="1624" t="s">
        <v>985</v>
      </c>
      <c r="E38" s="1624"/>
      <c r="F38" s="1624"/>
      <c r="G38" s="1624"/>
      <c r="H38" s="1624" t="s">
        <v>840</v>
      </c>
      <c r="I38" s="1624"/>
      <c r="J38" s="1624" t="s">
        <v>985</v>
      </c>
      <c r="K38" s="1624"/>
      <c r="L38" s="1624"/>
      <c r="M38" s="1624"/>
    </row>
    <row r="39" spans="1:34" ht="24" customHeight="1" thickTop="1">
      <c r="A39" s="284"/>
      <c r="B39" s="1608" t="s">
        <v>807</v>
      </c>
      <c r="C39" s="1609"/>
      <c r="D39" s="1635" t="s">
        <v>986</v>
      </c>
      <c r="E39" s="1635"/>
      <c r="F39" s="1635"/>
      <c r="G39" s="1635"/>
      <c r="H39" s="1617" t="s">
        <v>134</v>
      </c>
      <c r="I39" s="1617"/>
      <c r="J39" s="1636" t="s">
        <v>987</v>
      </c>
      <c r="K39" s="1636"/>
      <c r="L39" s="1636"/>
      <c r="M39" s="1636"/>
    </row>
    <row r="40" spans="1:34" ht="23.85" customHeight="1">
      <c r="A40" s="284"/>
      <c r="B40" s="1617" t="s">
        <v>807</v>
      </c>
      <c r="C40" s="1617"/>
      <c r="D40" s="1637" t="s">
        <v>855</v>
      </c>
      <c r="E40" s="1637"/>
      <c r="F40" s="1637"/>
      <c r="G40" s="1637"/>
      <c r="H40" s="1617" t="s">
        <v>807</v>
      </c>
      <c r="I40" s="1617"/>
      <c r="J40" s="1638" t="s">
        <v>988</v>
      </c>
      <c r="K40" s="1638"/>
      <c r="L40" s="1638"/>
      <c r="M40" s="1638"/>
    </row>
    <row r="41" spans="1:34" ht="23.85" customHeight="1">
      <c r="A41" s="284"/>
      <c r="B41" s="1617" t="s">
        <v>134</v>
      </c>
      <c r="C41" s="1617"/>
      <c r="D41" s="1637" t="s">
        <v>857</v>
      </c>
      <c r="E41" s="1637"/>
      <c r="F41" s="1637"/>
      <c r="G41" s="1637"/>
      <c r="H41" s="1613" t="s">
        <v>807</v>
      </c>
      <c r="I41" s="1614"/>
      <c r="J41" s="1679" t="s">
        <v>980</v>
      </c>
      <c r="K41" s="1680"/>
      <c r="L41" s="1680"/>
      <c r="M41" s="1681"/>
    </row>
    <row r="42" spans="1:34" ht="24" customHeight="1">
      <c r="A42" s="284"/>
      <c r="B42" s="1617" t="s">
        <v>807</v>
      </c>
      <c r="C42" s="1617"/>
      <c r="D42" s="1637" t="s">
        <v>989</v>
      </c>
      <c r="E42" s="1637"/>
      <c r="F42" s="1637"/>
      <c r="G42" s="1637"/>
      <c r="H42" s="1610"/>
      <c r="I42" s="1611"/>
      <c r="J42" s="1696" t="s">
        <v>990</v>
      </c>
      <c r="K42" s="1697"/>
      <c r="L42" s="1697"/>
      <c r="M42" s="1698"/>
    </row>
    <row r="43" spans="1:34" ht="24" customHeight="1">
      <c r="A43" s="284"/>
      <c r="B43" s="1617" t="s">
        <v>134</v>
      </c>
      <c r="C43" s="1617"/>
      <c r="D43" s="1637" t="s">
        <v>991</v>
      </c>
      <c r="E43" s="1637"/>
      <c r="F43" s="1637"/>
      <c r="G43" s="1637"/>
      <c r="H43" s="1615"/>
      <c r="I43" s="1616"/>
      <c r="J43" s="1676"/>
      <c r="K43" s="1677"/>
      <c r="L43" s="1677"/>
      <c r="M43" s="1678"/>
    </row>
    <row r="44" spans="1:34" ht="250.5" customHeight="1">
      <c r="A44" s="284"/>
      <c r="B44" s="1694" t="s">
        <v>992</v>
      </c>
      <c r="C44" s="1695"/>
      <c r="D44" s="1695"/>
      <c r="E44" s="1695"/>
      <c r="F44" s="1695"/>
      <c r="G44" s="1695"/>
      <c r="H44" s="1695"/>
      <c r="I44" s="1695"/>
      <c r="J44" s="1695"/>
      <c r="K44" s="1695"/>
      <c r="L44" s="1695"/>
      <c r="M44" s="1695"/>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heetViews>
  <sheetFormatPr defaultRowHeight="13.5"/>
  <cols>
    <col min="1" max="51" width="2.625" style="65" customWidth="1"/>
  </cols>
  <sheetData>
    <row r="1" spans="1:33" s="62" customFormat="1" ht="15.6" customHeight="1">
      <c r="A1" s="67" t="s">
        <v>993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2" customFormat="1"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c r="A3" s="1704" t="s">
        <v>77</v>
      </c>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row>
    <row r="4" spans="1:33">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ht="15.6" customHeight="1">
      <c r="B5" s="240"/>
      <c r="U5" s="396" t="s">
        <v>994</v>
      </c>
      <c r="V5" s="396"/>
      <c r="W5" s="396"/>
      <c r="X5" s="396"/>
      <c r="Y5" s="396"/>
      <c r="Z5" s="396"/>
      <c r="AA5" s="1703" t="str">
        <f>はじめに!D5</f>
        <v>〇〇集落協定</v>
      </c>
      <c r="AB5" s="1703"/>
      <c r="AC5" s="1703"/>
      <c r="AD5" s="1703"/>
      <c r="AE5" s="1703"/>
      <c r="AF5" s="1703"/>
      <c r="AG5" s="65" t="s">
        <v>473</v>
      </c>
    </row>
    <row r="6" spans="1:33" ht="36" customHeight="1">
      <c r="A6" s="1705" t="s">
        <v>995</v>
      </c>
      <c r="B6" s="1705"/>
      <c r="C6" s="1705" t="s">
        <v>996</v>
      </c>
      <c r="D6" s="1705"/>
      <c r="E6" s="1705" t="s">
        <v>997</v>
      </c>
      <c r="F6" s="1705"/>
      <c r="G6" s="1705" t="s">
        <v>998</v>
      </c>
      <c r="H6" s="1705"/>
      <c r="I6" s="1705" t="s">
        <v>999</v>
      </c>
      <c r="J6" s="1705"/>
      <c r="K6" s="1705"/>
      <c r="L6" s="1705"/>
      <c r="M6" s="1705" t="s">
        <v>1000</v>
      </c>
      <c r="N6" s="1705"/>
      <c r="O6" s="1705" t="s">
        <v>1001</v>
      </c>
      <c r="P6" s="1705"/>
      <c r="Q6" s="1705" t="s">
        <v>1002</v>
      </c>
      <c r="R6" s="1705"/>
      <c r="S6" s="1705"/>
      <c r="T6" s="1705"/>
      <c r="U6" s="1705" t="s">
        <v>1003</v>
      </c>
      <c r="V6" s="1705"/>
      <c r="W6" s="1705"/>
      <c r="X6" s="1705"/>
      <c r="Y6" s="1705" t="s">
        <v>1004</v>
      </c>
      <c r="Z6" s="1705"/>
      <c r="AA6" s="1705"/>
      <c r="AB6" s="1705"/>
      <c r="AC6" s="1705" t="s">
        <v>1005</v>
      </c>
      <c r="AD6" s="1705"/>
      <c r="AE6" s="1705"/>
      <c r="AF6" s="1705"/>
    </row>
    <row r="7" spans="1:33" ht="36" customHeight="1">
      <c r="A7" s="1705"/>
      <c r="B7" s="1705"/>
      <c r="C7" s="1705"/>
      <c r="D7" s="1705"/>
      <c r="E7" s="1705"/>
      <c r="F7" s="1705"/>
      <c r="G7" s="1705"/>
      <c r="H7" s="1705"/>
      <c r="I7" s="1706" t="s">
        <v>1006</v>
      </c>
      <c r="J7" s="1706"/>
      <c r="K7" s="1706" t="s">
        <v>1007</v>
      </c>
      <c r="L7" s="1706"/>
      <c r="M7" s="1705"/>
      <c r="N7" s="1705"/>
      <c r="O7" s="1705"/>
      <c r="P7" s="1705"/>
      <c r="Q7" s="1706" t="s">
        <v>1008</v>
      </c>
      <c r="R7" s="1706"/>
      <c r="S7" s="1706" t="s">
        <v>1009</v>
      </c>
      <c r="T7" s="1706"/>
      <c r="U7" s="1706" t="s">
        <v>1010</v>
      </c>
      <c r="V7" s="1706"/>
      <c r="W7" s="1706" t="s">
        <v>1011</v>
      </c>
      <c r="X7" s="1706"/>
      <c r="Y7" s="1706" t="s">
        <v>1012</v>
      </c>
      <c r="Z7" s="1706"/>
      <c r="AA7" s="1706" t="s">
        <v>1013</v>
      </c>
      <c r="AB7" s="1706"/>
      <c r="AC7" s="1705"/>
      <c r="AD7" s="1705"/>
      <c r="AE7" s="1705"/>
      <c r="AF7" s="1705"/>
    </row>
    <row r="8" spans="1:33" ht="15.6" customHeight="1">
      <c r="A8" s="1699"/>
      <c r="B8" s="1699"/>
      <c r="C8" s="1699"/>
      <c r="D8" s="1699"/>
      <c r="E8" s="1699"/>
      <c r="F8" s="1699"/>
      <c r="G8" s="1699"/>
      <c r="H8" s="1699"/>
      <c r="I8" s="1699"/>
      <c r="J8" s="1699"/>
      <c r="K8" s="1699"/>
      <c r="L8" s="1699"/>
      <c r="M8" s="1699"/>
      <c r="N8" s="1699"/>
      <c r="O8" s="1699"/>
      <c r="P8" s="1699"/>
      <c r="Q8" s="1699"/>
      <c r="R8" s="1699"/>
      <c r="S8" s="1699"/>
      <c r="T8" s="1699"/>
      <c r="U8" s="1699"/>
      <c r="V8" s="1699"/>
      <c r="W8" s="1699"/>
      <c r="X8" s="1699"/>
      <c r="Y8" s="1699"/>
      <c r="Z8" s="1699"/>
      <c r="AA8" s="1699"/>
      <c r="AB8" s="1699"/>
      <c r="AC8" s="1700"/>
      <c r="AD8" s="1701"/>
      <c r="AE8" s="1701"/>
      <c r="AF8" s="1702"/>
    </row>
    <row r="9" spans="1:33" ht="15.6" customHeight="1">
      <c r="A9" s="1699"/>
      <c r="B9" s="1699"/>
      <c r="C9" s="1699"/>
      <c r="D9" s="1699"/>
      <c r="E9" s="1699"/>
      <c r="F9" s="1699"/>
      <c r="G9" s="1699"/>
      <c r="H9" s="1699"/>
      <c r="I9" s="1699"/>
      <c r="J9" s="1699"/>
      <c r="K9" s="1699"/>
      <c r="L9" s="1699"/>
      <c r="M9" s="1699"/>
      <c r="N9" s="1699"/>
      <c r="O9" s="1699"/>
      <c r="P9" s="1699"/>
      <c r="Q9" s="1699"/>
      <c r="R9" s="1699"/>
      <c r="S9" s="1699"/>
      <c r="T9" s="1699"/>
      <c r="U9" s="1699"/>
      <c r="V9" s="1699"/>
      <c r="W9" s="1699"/>
      <c r="X9" s="1699"/>
      <c r="Y9" s="1699"/>
      <c r="Z9" s="1699"/>
      <c r="AA9" s="1699"/>
      <c r="AB9" s="1699"/>
      <c r="AC9" s="1700"/>
      <c r="AD9" s="1701"/>
      <c r="AE9" s="1701"/>
      <c r="AF9" s="1702"/>
    </row>
    <row r="10" spans="1:33" ht="15.6" customHeight="1">
      <c r="A10" s="1699"/>
      <c r="B10" s="1699"/>
      <c r="C10" s="1699"/>
      <c r="D10" s="1699"/>
      <c r="E10" s="1699"/>
      <c r="F10" s="1699"/>
      <c r="G10" s="1699"/>
      <c r="H10" s="1699"/>
      <c r="I10" s="1699"/>
      <c r="J10" s="1699"/>
      <c r="K10" s="1699"/>
      <c r="L10" s="1699"/>
      <c r="M10" s="1699"/>
      <c r="N10" s="1699"/>
      <c r="O10" s="1699"/>
      <c r="P10" s="1699"/>
      <c r="Q10" s="1699"/>
      <c r="R10" s="1699"/>
      <c r="S10" s="1699"/>
      <c r="T10" s="1699"/>
      <c r="U10" s="1699"/>
      <c r="V10" s="1699"/>
      <c r="W10" s="1699"/>
      <c r="X10" s="1699"/>
      <c r="Y10" s="1699"/>
      <c r="Z10" s="1699"/>
      <c r="AA10" s="1699"/>
      <c r="AB10" s="1699"/>
      <c r="AC10" s="1700"/>
      <c r="AD10" s="1701"/>
      <c r="AE10" s="1701"/>
      <c r="AF10" s="1702"/>
    </row>
    <row r="11" spans="1:33" ht="15.6" customHeight="1">
      <c r="A11" s="1699"/>
      <c r="B11" s="1699"/>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99"/>
      <c r="Y11" s="1699"/>
      <c r="Z11" s="1699"/>
      <c r="AA11" s="1699"/>
      <c r="AB11" s="1699"/>
      <c r="AC11" s="1700"/>
      <c r="AD11" s="1701"/>
      <c r="AE11" s="1701"/>
      <c r="AF11" s="1702"/>
    </row>
    <row r="12" spans="1:33" ht="15.6" customHeight="1">
      <c r="A12" s="1699"/>
      <c r="B12" s="1699"/>
      <c r="C12" s="1699"/>
      <c r="D12" s="1699"/>
      <c r="E12" s="1699"/>
      <c r="F12" s="1699"/>
      <c r="G12" s="1699"/>
      <c r="H12" s="1699"/>
      <c r="I12" s="1699"/>
      <c r="J12" s="1699"/>
      <c r="K12" s="1699"/>
      <c r="L12" s="1699"/>
      <c r="M12" s="1699"/>
      <c r="N12" s="1699"/>
      <c r="O12" s="1699"/>
      <c r="P12" s="1699"/>
      <c r="Q12" s="1699"/>
      <c r="R12" s="1699"/>
      <c r="S12" s="1699"/>
      <c r="T12" s="1699"/>
      <c r="U12" s="1699"/>
      <c r="V12" s="1699"/>
      <c r="W12" s="1699"/>
      <c r="X12" s="1699"/>
      <c r="Y12" s="1699"/>
      <c r="Z12" s="1699"/>
      <c r="AA12" s="1699"/>
      <c r="AB12" s="1699"/>
      <c r="AC12" s="1700"/>
      <c r="AD12" s="1701"/>
      <c r="AE12" s="1701"/>
      <c r="AF12" s="1702"/>
    </row>
    <row r="13" spans="1:33" ht="15.6" customHeight="1">
      <c r="A13" s="1699"/>
      <c r="B13" s="1699"/>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9"/>
      <c r="Y13" s="1699"/>
      <c r="Z13" s="1699"/>
      <c r="AA13" s="1699"/>
      <c r="AB13" s="1699"/>
      <c r="AC13" s="1700"/>
      <c r="AD13" s="1701"/>
      <c r="AE13" s="1701"/>
      <c r="AF13" s="1702"/>
    </row>
    <row r="14" spans="1:33" ht="15.6" customHeight="1">
      <c r="A14" s="1699"/>
      <c r="B14" s="1699"/>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700"/>
      <c r="AD14" s="1701"/>
      <c r="AE14" s="1701"/>
      <c r="AF14" s="1702"/>
    </row>
    <row r="15" spans="1:33" ht="15.6" customHeight="1">
      <c r="A15" s="1699"/>
      <c r="B15" s="1699"/>
      <c r="C15" s="1699"/>
      <c r="D15" s="1699"/>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700"/>
      <c r="AD15" s="1701"/>
      <c r="AE15" s="1701"/>
      <c r="AF15" s="1702"/>
    </row>
    <row r="16" spans="1:33" ht="15.6" customHeight="1">
      <c r="A16" s="1699"/>
      <c r="B16" s="1699"/>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700"/>
      <c r="AD16" s="1701"/>
      <c r="AE16" s="1701"/>
      <c r="AF16" s="1702"/>
    </row>
    <row r="17" spans="1:32" ht="15.6" customHeight="1">
      <c r="A17" s="1699"/>
      <c r="B17" s="1699"/>
      <c r="C17" s="1699"/>
      <c r="D17" s="1699"/>
      <c r="E17" s="1699"/>
      <c r="F17" s="1699"/>
      <c r="G17" s="1699"/>
      <c r="H17" s="1699"/>
      <c r="I17" s="1699"/>
      <c r="J17" s="1699"/>
      <c r="K17" s="1699"/>
      <c r="L17" s="1699"/>
      <c r="M17" s="1699"/>
      <c r="N17" s="1699"/>
      <c r="O17" s="1699"/>
      <c r="P17" s="1699"/>
      <c r="Q17" s="1699"/>
      <c r="R17" s="1699"/>
      <c r="S17" s="1699"/>
      <c r="T17" s="1699"/>
      <c r="U17" s="1699"/>
      <c r="V17" s="1699"/>
      <c r="W17" s="1699"/>
      <c r="X17" s="1699"/>
      <c r="Y17" s="1699"/>
      <c r="Z17" s="1699"/>
      <c r="AA17" s="1699"/>
      <c r="AB17" s="1699"/>
      <c r="AC17" s="1700"/>
      <c r="AD17" s="1701"/>
      <c r="AE17" s="1701"/>
      <c r="AF17" s="1702"/>
    </row>
    <row r="18" spans="1:32" ht="15.6" customHeight="1">
      <c r="A18" s="1699"/>
      <c r="B18" s="1699"/>
      <c r="C18" s="1699"/>
      <c r="D18" s="1699"/>
      <c r="E18" s="1699"/>
      <c r="F18" s="1699"/>
      <c r="G18" s="1699"/>
      <c r="H18" s="1699"/>
      <c r="I18" s="1699"/>
      <c r="J18" s="1699"/>
      <c r="K18" s="1699"/>
      <c r="L18" s="1699"/>
      <c r="M18" s="1699"/>
      <c r="N18" s="1699"/>
      <c r="O18" s="1699"/>
      <c r="P18" s="1699"/>
      <c r="Q18" s="1699"/>
      <c r="R18" s="1699"/>
      <c r="S18" s="1699"/>
      <c r="T18" s="1699"/>
      <c r="U18" s="1699"/>
      <c r="V18" s="1699"/>
      <c r="W18" s="1699"/>
      <c r="X18" s="1699"/>
      <c r="Y18" s="1699"/>
      <c r="Z18" s="1699"/>
      <c r="AA18" s="1699"/>
      <c r="AB18" s="1699"/>
      <c r="AC18" s="1700"/>
      <c r="AD18" s="1701"/>
      <c r="AE18" s="1701"/>
      <c r="AF18" s="1702"/>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heetViews>
  <sheetFormatPr defaultRowHeight="13.5"/>
  <cols>
    <col min="1" max="51" width="2.625" style="65" customWidth="1"/>
  </cols>
  <sheetData>
    <row r="1" spans="1:33" s="62" customFormat="1" ht="15.6" customHeight="1">
      <c r="A1" s="67" t="s">
        <v>1014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2" customFormat="1"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c r="A3" s="1704" t="s">
        <v>81</v>
      </c>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row>
    <row r="4" spans="1:33">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row>
    <row r="6" spans="1:33">
      <c r="A6" s="1461" t="s">
        <v>1015</v>
      </c>
      <c r="B6" s="1461"/>
      <c r="C6" s="1461"/>
      <c r="D6" s="1513" t="s">
        <v>1016</v>
      </c>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row>
    <row r="7" spans="1:33">
      <c r="A7" s="1461"/>
      <c r="B7" s="1461"/>
      <c r="C7" s="1461"/>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row>
    <row r="8" spans="1:33">
      <c r="A8" s="1461"/>
      <c r="B8" s="1461"/>
      <c r="C8" s="1461"/>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row>
    <row r="9" spans="1:33">
      <c r="A9" s="1461" t="s">
        <v>1017</v>
      </c>
      <c r="B9" s="1461"/>
      <c r="C9" s="1461"/>
      <c r="D9" s="1461" t="s">
        <v>1018</v>
      </c>
      <c r="E9" s="1461"/>
      <c r="F9" s="1461"/>
      <c r="G9" s="1461"/>
      <c r="H9" s="1461"/>
      <c r="I9" s="1461"/>
      <c r="J9" s="1461"/>
      <c r="K9" s="1461"/>
      <c r="L9" s="1461"/>
      <c r="M9" s="1461"/>
      <c r="N9" s="1461"/>
      <c r="O9" s="1461"/>
      <c r="P9" s="1461"/>
      <c r="Q9" s="1461"/>
      <c r="R9" s="1461"/>
      <c r="S9" s="1461"/>
      <c r="T9" s="1461"/>
      <c r="U9" s="1461"/>
      <c r="V9" s="1461"/>
      <c r="W9" s="1461"/>
      <c r="X9" s="1461"/>
      <c r="Y9" s="1461"/>
      <c r="Z9" s="1461"/>
      <c r="AA9" s="1461"/>
      <c r="AB9" s="1461"/>
      <c r="AC9" s="1461"/>
      <c r="AD9" s="1461"/>
      <c r="AE9" s="1461"/>
      <c r="AF9" s="1461"/>
      <c r="AG9" s="1461"/>
    </row>
    <row r="10" spans="1:33">
      <c r="A10" s="1461"/>
      <c r="B10" s="1461"/>
      <c r="C10" s="1461"/>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row>
    <row r="11" spans="1:33">
      <c r="A11" s="1461" t="s">
        <v>1019</v>
      </c>
      <c r="B11" s="1461"/>
      <c r="C11" s="1461"/>
      <c r="D11" s="1513" t="s">
        <v>1020</v>
      </c>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row>
    <row r="12" spans="1:33">
      <c r="A12" s="1461"/>
      <c r="B12" s="1461"/>
      <c r="C12" s="1461"/>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row>
    <row r="13" spans="1:33">
      <c r="A13" s="1461"/>
      <c r="B13" s="1461"/>
      <c r="C13" s="1461"/>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row>
    <row r="14" spans="1:33">
      <c r="A14" s="1461" t="s">
        <v>1021</v>
      </c>
      <c r="B14" s="1461"/>
      <c r="C14" s="1461"/>
      <c r="D14" s="1707" t="s">
        <v>1022</v>
      </c>
      <c r="E14" s="1707"/>
      <c r="F14" s="1707"/>
      <c r="G14" s="1707"/>
      <c r="H14" s="1707"/>
      <c r="I14" s="1707"/>
      <c r="J14" s="1707"/>
      <c r="K14" s="1707"/>
      <c r="L14" s="1707"/>
      <c r="M14" s="1707"/>
      <c r="N14" s="1707"/>
      <c r="O14" s="1707"/>
      <c r="P14" s="1707"/>
      <c r="Q14" s="1707"/>
      <c r="R14" s="1707"/>
      <c r="S14" s="1707"/>
      <c r="T14" s="1707"/>
      <c r="U14" s="1707"/>
      <c r="V14" s="1707"/>
      <c r="W14" s="1707"/>
      <c r="X14" s="1707"/>
      <c r="Y14" s="1707"/>
      <c r="Z14" s="1707"/>
      <c r="AA14" s="1707"/>
      <c r="AB14" s="1707"/>
      <c r="AC14" s="1707"/>
      <c r="AD14" s="1707"/>
      <c r="AE14" s="1707"/>
      <c r="AF14" s="1707"/>
      <c r="AG14" s="1707"/>
    </row>
    <row r="15" spans="1:33">
      <c r="A15" s="1461"/>
      <c r="B15" s="1461"/>
      <c r="C15" s="1461"/>
      <c r="D15" s="222" t="s">
        <v>1023</v>
      </c>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row>
    <row r="16" spans="1:33">
      <c r="A16" s="1461"/>
      <c r="B16" s="1461"/>
      <c r="C16" s="1461"/>
      <c r="D16" s="222" t="s">
        <v>1024</v>
      </c>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row>
    <row r="17" spans="1:33">
      <c r="A17" s="1461"/>
      <c r="B17" s="1461"/>
      <c r="C17" s="1461"/>
      <c r="D17" s="1513" t="s">
        <v>1025</v>
      </c>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254"/>
    </row>
    <row r="18" spans="1:33">
      <c r="A18" s="1461"/>
      <c r="B18" s="1461"/>
      <c r="C18" s="1461"/>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254"/>
    </row>
    <row r="19" spans="1:33">
      <c r="A19" s="1461"/>
      <c r="B19" s="1461"/>
      <c r="C19" s="1461"/>
      <c r="D19" s="222" t="s">
        <v>1026</v>
      </c>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row>
    <row r="20" spans="1:33">
      <c r="A20" s="1461"/>
      <c r="B20" s="1461"/>
      <c r="C20" s="1461"/>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row>
    <row r="21" spans="1:33">
      <c r="A21" s="1461" t="s">
        <v>1027</v>
      </c>
      <c r="B21" s="1461"/>
      <c r="C21" s="1461"/>
      <c r="D21" s="1513" t="s">
        <v>1028</v>
      </c>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row>
    <row r="22" spans="1:33">
      <c r="A22" s="1461"/>
      <c r="B22" s="1461"/>
      <c r="C22" s="1461"/>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row>
    <row r="23" spans="1:33">
      <c r="A23" s="1461"/>
      <c r="B23" s="1461"/>
      <c r="C23" s="1461"/>
      <c r="D23" s="222" t="s">
        <v>1029</v>
      </c>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row>
    <row r="24" spans="1:33">
      <c r="A24" s="1461"/>
      <c r="B24" s="1461"/>
      <c r="C24" s="1461"/>
      <c r="D24" s="222" t="s">
        <v>1030</v>
      </c>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row>
    <row r="25" spans="1:33">
      <c r="A25" s="1461"/>
      <c r="B25" s="1461"/>
      <c r="C25" s="1461"/>
      <c r="D25" s="222" t="s">
        <v>1031</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row>
    <row r="26" spans="1:33">
      <c r="A26" s="1461"/>
      <c r="B26" s="1461"/>
      <c r="C26" s="1461"/>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row>
    <row r="27" spans="1:33">
      <c r="A27" s="1461" t="s">
        <v>1032</v>
      </c>
      <c r="B27" s="1461"/>
      <c r="C27" s="1461"/>
      <c r="D27" s="1513" t="s">
        <v>1033</v>
      </c>
      <c r="E27" s="1513"/>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row>
    <row r="28" spans="1:33">
      <c r="A28" s="1461"/>
      <c r="B28" s="1461"/>
      <c r="C28" s="1461"/>
      <c r="D28" s="1513"/>
      <c r="E28" s="1513"/>
      <c r="F28" s="1513"/>
      <c r="G28" s="1513"/>
      <c r="H28" s="1513"/>
      <c r="I28" s="1513"/>
      <c r="J28" s="1513"/>
      <c r="K28" s="1513"/>
      <c r="L28" s="1513"/>
      <c r="M28" s="1513"/>
      <c r="N28" s="1513"/>
      <c r="O28" s="1513"/>
      <c r="P28" s="1513"/>
      <c r="Q28" s="1513"/>
      <c r="R28" s="1513"/>
      <c r="S28" s="1513"/>
      <c r="T28" s="1513"/>
      <c r="U28" s="1513"/>
      <c r="V28" s="1513"/>
      <c r="W28" s="1513"/>
      <c r="X28" s="1513"/>
      <c r="Y28" s="1513"/>
      <c r="Z28" s="1513"/>
      <c r="AA28" s="1513"/>
      <c r="AB28" s="1513"/>
      <c r="AC28" s="1513"/>
      <c r="AD28" s="1513"/>
      <c r="AE28" s="1513"/>
      <c r="AF28" s="1513"/>
      <c r="AG28" s="1513"/>
    </row>
    <row r="29" spans="1:33">
      <c r="A29" s="1461"/>
      <c r="B29" s="1461"/>
      <c r="C29" s="1461"/>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row>
    <row r="30" spans="1:33">
      <c r="A30" s="1461"/>
      <c r="B30" s="1461"/>
      <c r="C30" s="1461"/>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row>
    <row r="31" spans="1:33">
      <c r="A31" s="1461"/>
      <c r="B31" s="1461"/>
      <c r="C31" s="1461"/>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row>
    <row r="32" spans="1:33">
      <c r="A32" s="1461"/>
      <c r="B32" s="1461"/>
      <c r="C32" s="1461"/>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row>
    <row r="33" spans="1:33">
      <c r="A33" s="1461"/>
      <c r="B33" s="1461"/>
      <c r="C33" s="1461"/>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row>
    <row r="34" spans="1:33" ht="15.6" customHeight="1">
      <c r="A34" s="1461"/>
      <c r="B34" s="1461"/>
      <c r="C34" s="1461"/>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heetViews>
  <sheetFormatPr defaultRowHeight="13.5"/>
  <cols>
    <col min="1" max="51" width="2.625" style="65" customWidth="1"/>
  </cols>
  <sheetData>
    <row r="1" spans="1:33" s="62" customFormat="1" ht="15.6" customHeight="1">
      <c r="A1" s="67" t="s">
        <v>1034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c r="A2" s="1704" t="s">
        <v>84</v>
      </c>
      <c r="B2" s="1704"/>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row>
    <row r="3" spans="1:33">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ht="60" customHeight="1">
      <c r="A4" s="1708" t="s">
        <v>1035</v>
      </c>
      <c r="B4" s="1708"/>
      <c r="C4" s="1708"/>
      <c r="D4" s="1708"/>
      <c r="E4" s="1708"/>
      <c r="F4" s="1708"/>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c r="AE4" s="1483"/>
      <c r="AF4" s="1483"/>
      <c r="AG4" s="1483"/>
    </row>
    <row r="5" spans="1:33" ht="60" customHeight="1">
      <c r="A5" s="1708" t="s">
        <v>1036</v>
      </c>
      <c r="B5" s="1708"/>
      <c r="C5" s="1708"/>
      <c r="D5" s="1708"/>
      <c r="E5" s="1708"/>
      <c r="F5" s="1708"/>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row>
    <row r="6" spans="1:33">
      <c r="A6" s="1708" t="s">
        <v>1037</v>
      </c>
      <c r="B6" s="1708"/>
      <c r="C6" s="1708"/>
      <c r="D6" s="1708"/>
      <c r="E6" s="1708"/>
      <c r="F6" s="1708"/>
      <c r="G6" s="1731" t="s">
        <v>1038</v>
      </c>
      <c r="H6" s="1732"/>
      <c r="I6" s="1732"/>
      <c r="J6" s="1732"/>
      <c r="K6" s="1732"/>
      <c r="L6" s="1732"/>
      <c r="M6" s="1732"/>
      <c r="N6" s="1732"/>
      <c r="O6" s="1732"/>
      <c r="P6" s="1732"/>
      <c r="Q6" s="1732"/>
      <c r="R6" s="1732"/>
      <c r="S6" s="1732"/>
      <c r="T6" s="1732"/>
      <c r="U6" s="1732"/>
      <c r="V6" s="1732"/>
      <c r="W6" s="1732"/>
      <c r="X6" s="1732"/>
      <c r="Y6" s="1732"/>
      <c r="Z6" s="1732"/>
      <c r="AA6" s="1732"/>
      <c r="AB6" s="1732"/>
      <c r="AC6" s="1732"/>
      <c r="AD6" s="1732"/>
      <c r="AE6" s="1732"/>
      <c r="AF6" s="1732"/>
      <c r="AG6" s="1733"/>
    </row>
    <row r="7" spans="1:33">
      <c r="A7" s="1708"/>
      <c r="B7" s="1708"/>
      <c r="C7" s="1708"/>
      <c r="D7" s="1708"/>
      <c r="E7" s="1708"/>
      <c r="F7" s="1708"/>
      <c r="G7" s="1734" t="s">
        <v>1039</v>
      </c>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c r="AE7" s="1735"/>
      <c r="AF7" s="1735"/>
      <c r="AG7" s="1736"/>
    </row>
    <row r="8" spans="1:33">
      <c r="A8" s="1708" t="s">
        <v>1040</v>
      </c>
      <c r="B8" s="1708"/>
      <c r="C8" s="1708"/>
      <c r="D8" s="1708"/>
      <c r="E8" s="1708"/>
      <c r="F8" s="1708"/>
      <c r="G8" s="1717" t="s">
        <v>1041</v>
      </c>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v>0</v>
      </c>
      <c r="AE8" s="1720"/>
      <c r="AF8" s="1720"/>
      <c r="AG8" s="1721"/>
    </row>
    <row r="9" spans="1:33">
      <c r="A9" s="1708"/>
      <c r="B9" s="1708"/>
      <c r="C9" s="1708"/>
      <c r="D9" s="1708"/>
      <c r="E9" s="1708"/>
      <c r="F9" s="1708"/>
      <c r="G9" s="1722" t="s">
        <v>1041</v>
      </c>
      <c r="H9" s="1723"/>
      <c r="I9" s="1723"/>
      <c r="J9" s="1723"/>
      <c r="K9" s="1723"/>
      <c r="L9" s="1723"/>
      <c r="M9" s="1723"/>
      <c r="N9" s="1723"/>
      <c r="O9" s="1723"/>
      <c r="P9" s="1723"/>
      <c r="Q9" s="1723"/>
      <c r="R9" s="1723"/>
      <c r="S9" s="1723"/>
      <c r="T9" s="1723"/>
      <c r="U9" s="1723"/>
      <c r="V9" s="1723"/>
      <c r="W9" s="1723"/>
      <c r="X9" s="1723"/>
      <c r="Y9" s="1723"/>
      <c r="Z9" s="1723"/>
      <c r="AA9" s="1723"/>
      <c r="AB9" s="1723"/>
      <c r="AC9" s="1723"/>
      <c r="AD9" s="1724">
        <v>0</v>
      </c>
      <c r="AE9" s="1725"/>
      <c r="AF9" s="1725"/>
      <c r="AG9" s="1726"/>
    </row>
    <row r="10" spans="1:33">
      <c r="A10" s="1708"/>
      <c r="B10" s="1708"/>
      <c r="C10" s="1708"/>
      <c r="D10" s="1708"/>
      <c r="E10" s="1708"/>
      <c r="F10" s="1708"/>
      <c r="G10" s="1722" t="s">
        <v>1041</v>
      </c>
      <c r="H10" s="1723"/>
      <c r="I10" s="1723"/>
      <c r="J10" s="1723"/>
      <c r="K10" s="1723"/>
      <c r="L10" s="1723"/>
      <c r="M10" s="1723"/>
      <c r="N10" s="1723"/>
      <c r="O10" s="1723"/>
      <c r="P10" s="1723"/>
      <c r="Q10" s="1723"/>
      <c r="R10" s="1723"/>
      <c r="S10" s="1723"/>
      <c r="T10" s="1723"/>
      <c r="U10" s="1723"/>
      <c r="V10" s="1723"/>
      <c r="W10" s="1723"/>
      <c r="X10" s="1723"/>
      <c r="Y10" s="1723"/>
      <c r="Z10" s="1723"/>
      <c r="AA10" s="1723"/>
      <c r="AB10" s="1723"/>
      <c r="AC10" s="1723"/>
      <c r="AD10" s="1724">
        <v>0</v>
      </c>
      <c r="AE10" s="1725"/>
      <c r="AF10" s="1725"/>
      <c r="AG10" s="1726"/>
    </row>
    <row r="11" spans="1:33">
      <c r="A11" s="1708"/>
      <c r="B11" s="1708"/>
      <c r="C11" s="1708"/>
      <c r="D11" s="1708"/>
      <c r="E11" s="1708"/>
      <c r="F11" s="1708"/>
      <c r="G11" s="1727" t="s">
        <v>1042</v>
      </c>
      <c r="H11" s="1728"/>
      <c r="I11" s="1728"/>
      <c r="J11" s="1728"/>
      <c r="K11" s="1728"/>
      <c r="L11" s="1728"/>
      <c r="M11" s="1728"/>
      <c r="N11" s="1728"/>
      <c r="O11" s="1728"/>
      <c r="P11" s="1728"/>
      <c r="Q11" s="1728"/>
      <c r="R11" s="1728"/>
      <c r="S11" s="1728"/>
      <c r="T11" s="1728"/>
      <c r="U11" s="1728"/>
      <c r="V11" s="1728"/>
      <c r="W11" s="1728"/>
      <c r="X11" s="1728"/>
      <c r="Y11" s="1728"/>
      <c r="Z11" s="1728"/>
      <c r="AA11" s="1728"/>
      <c r="AB11" s="1728"/>
      <c r="AC11" s="1728"/>
      <c r="AD11" s="1729">
        <f>SUM(AD8:AG10)</f>
        <v>0</v>
      </c>
      <c r="AE11" s="1729"/>
      <c r="AF11" s="1729"/>
      <c r="AG11" s="1730"/>
    </row>
    <row r="12" spans="1:33" ht="60" customHeight="1">
      <c r="A12" s="1708" t="s">
        <v>1043</v>
      </c>
      <c r="B12" s="1708"/>
      <c r="C12" s="1708"/>
      <c r="D12" s="1708"/>
      <c r="E12" s="1708"/>
      <c r="F12" s="1708"/>
      <c r="G12" s="1709" t="s">
        <v>1044</v>
      </c>
      <c r="H12" s="1710"/>
      <c r="I12" s="1710"/>
      <c r="J12" s="1710"/>
      <c r="K12" s="1710"/>
      <c r="L12" s="1710"/>
      <c r="M12" s="1710"/>
      <c r="N12" s="1710"/>
      <c r="O12" s="1710" t="s">
        <v>1045</v>
      </c>
      <c r="P12" s="1710"/>
      <c r="Q12" s="1710"/>
      <c r="R12" s="1710"/>
      <c r="S12" s="1710"/>
      <c r="T12" s="1710"/>
      <c r="U12" s="1710"/>
      <c r="V12" s="1710"/>
      <c r="W12" s="1710"/>
      <c r="X12" s="1710" t="s">
        <v>1046</v>
      </c>
      <c r="Y12" s="1710"/>
      <c r="Z12" s="1710"/>
      <c r="AA12" s="1710"/>
      <c r="AB12" s="1710"/>
      <c r="AC12" s="1710"/>
      <c r="AD12" s="1710"/>
      <c r="AE12" s="1710"/>
      <c r="AF12" s="1710"/>
      <c r="AG12" s="1711"/>
    </row>
    <row r="13" spans="1:33" ht="60" customHeight="1">
      <c r="A13" s="1708"/>
      <c r="B13" s="1708"/>
      <c r="C13" s="1708"/>
      <c r="D13" s="1708"/>
      <c r="E13" s="1708"/>
      <c r="F13" s="1708"/>
      <c r="G13" s="1712" t="s">
        <v>1047</v>
      </c>
      <c r="H13" s="1713"/>
      <c r="I13" s="1713"/>
      <c r="J13" s="1713"/>
      <c r="K13" s="1713"/>
      <c r="L13" s="1713"/>
      <c r="M13" s="1713"/>
      <c r="N13" s="1713"/>
      <c r="O13" s="1713" t="s">
        <v>1045</v>
      </c>
      <c r="P13" s="1713"/>
      <c r="Q13" s="1713"/>
      <c r="R13" s="1713"/>
      <c r="S13" s="1713"/>
      <c r="T13" s="1713"/>
      <c r="U13" s="1713"/>
      <c r="V13" s="1713"/>
      <c r="W13" s="1713"/>
      <c r="X13" s="1713" t="s">
        <v>1046</v>
      </c>
      <c r="Y13" s="1713"/>
      <c r="Z13" s="1713"/>
      <c r="AA13" s="1713"/>
      <c r="AB13" s="1713"/>
      <c r="AC13" s="1713"/>
      <c r="AD13" s="1713"/>
      <c r="AE13" s="1713"/>
      <c r="AF13" s="1713"/>
      <c r="AG13" s="1714"/>
    </row>
    <row r="14" spans="1:33" ht="18" customHeight="1">
      <c r="A14" s="1708" t="s">
        <v>1048</v>
      </c>
      <c r="B14" s="1708"/>
      <c r="C14" s="1708"/>
      <c r="D14" s="1708"/>
      <c r="E14" s="1708"/>
      <c r="F14" s="1708"/>
      <c r="G14" s="1715"/>
      <c r="H14" s="1716"/>
      <c r="I14" s="1716"/>
      <c r="J14" s="1716"/>
      <c r="K14" s="1716"/>
      <c r="L14" s="1716"/>
      <c r="M14" s="1716"/>
      <c r="N14" s="1716"/>
      <c r="O14" s="590" t="s">
        <v>1049</v>
      </c>
      <c r="P14" s="590"/>
      <c r="Q14" s="590"/>
      <c r="R14" s="590"/>
      <c r="S14" s="590"/>
      <c r="T14" s="590"/>
      <c r="U14" s="590"/>
      <c r="V14" s="590"/>
      <c r="W14" s="590"/>
      <c r="X14" s="590"/>
      <c r="Y14" s="590"/>
      <c r="Z14" s="590"/>
      <c r="AA14" s="590"/>
      <c r="AB14" s="590"/>
      <c r="AC14" s="590"/>
      <c r="AD14" s="590"/>
      <c r="AE14" s="590"/>
      <c r="AF14" s="590"/>
      <c r="AG14" s="591"/>
    </row>
    <row r="15" spans="1:33" ht="60" customHeight="1">
      <c r="A15" s="1708" t="s">
        <v>1050</v>
      </c>
      <c r="B15" s="1708"/>
      <c r="C15" s="1708"/>
      <c r="D15" s="1708"/>
      <c r="E15" s="1708"/>
      <c r="F15" s="1708"/>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row>
    <row r="16" spans="1:33" ht="18" customHeight="1">
      <c r="A16" s="222" t="s">
        <v>1051</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row>
    <row r="17" spans="1:33">
      <c r="A17" s="222" t="s">
        <v>1052</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row>
    <row r="18" spans="1:33">
      <c r="A18" s="222" t="s">
        <v>1053</v>
      </c>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row>
    <row r="19" spans="1:33">
      <c r="A19" s="1513" t="s">
        <v>1054</v>
      </c>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7"/>
      <c r="Z19" s="1707"/>
      <c r="AA19" s="1707"/>
      <c r="AB19" s="1707"/>
      <c r="AC19" s="1707"/>
      <c r="AD19" s="1707"/>
      <c r="AE19" s="1707"/>
      <c r="AF19" s="1707"/>
      <c r="AG19" s="1707"/>
    </row>
    <row r="20" spans="1:33">
      <c r="A20" s="1513" t="s">
        <v>1055</v>
      </c>
      <c r="B20" s="1513"/>
      <c r="C20" s="1513"/>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row>
    <row r="21" spans="1:33">
      <c r="A21" s="1513"/>
      <c r="B21" s="1513"/>
      <c r="C21" s="1513"/>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row>
    <row r="22" spans="1:33">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workbookViewId="0"/>
  </sheetViews>
  <sheetFormatPr defaultColWidth="9" defaultRowHeight="18.75"/>
  <cols>
    <col min="1" max="1" width="2.75" style="646" customWidth="1"/>
    <col min="2" max="2" width="7.25" style="646" customWidth="1"/>
    <col min="3" max="3" width="7.75" style="646" customWidth="1"/>
    <col min="4" max="4" width="8" style="646" customWidth="1"/>
    <col min="5" max="5" width="6.375" style="646" customWidth="1"/>
    <col min="6" max="7" width="7" style="646" customWidth="1"/>
    <col min="8" max="13" width="4.875" style="646" customWidth="1"/>
    <col min="14" max="14" width="9.125" style="646" customWidth="1"/>
    <col min="15" max="15" width="12.375" style="646" customWidth="1"/>
    <col min="16" max="16" width="21" style="646" customWidth="1"/>
    <col min="17" max="17" width="26" style="646" customWidth="1"/>
    <col min="18" max="25" width="7.625" style="646" customWidth="1"/>
    <col min="26" max="16384" width="9" style="646"/>
  </cols>
  <sheetData>
    <row r="1" spans="1:24" ht="19.5">
      <c r="A1" s="644" t="s">
        <v>1862</v>
      </c>
      <c r="B1" s="645"/>
      <c r="Q1" s="647"/>
    </row>
    <row r="2" spans="1:24" ht="24" customHeight="1">
      <c r="A2" s="648"/>
      <c r="C2" s="649"/>
      <c r="D2" s="649"/>
      <c r="E2" s="649"/>
      <c r="F2" s="649"/>
      <c r="G2" s="649"/>
      <c r="H2" s="649"/>
      <c r="I2" s="649"/>
      <c r="J2" s="649"/>
      <c r="K2" s="649"/>
      <c r="L2" s="649"/>
      <c r="M2" s="649"/>
      <c r="N2" s="649"/>
      <c r="P2" s="650" t="s">
        <v>1863</v>
      </c>
      <c r="Q2" s="651" t="str">
        <f>はじめに!D5</f>
        <v>〇〇集落協定</v>
      </c>
      <c r="R2" s="649"/>
      <c r="S2" s="649"/>
      <c r="T2" s="649"/>
      <c r="U2" s="649"/>
      <c r="V2" s="649"/>
      <c r="W2" s="649"/>
    </row>
    <row r="3" spans="1:24" ht="29.25" customHeight="1">
      <c r="C3" s="652"/>
      <c r="D3" s="652"/>
      <c r="E3" s="652"/>
      <c r="F3" s="653"/>
      <c r="G3" s="709" t="s">
        <v>530</v>
      </c>
      <c r="H3" s="654" t="s">
        <v>1864</v>
      </c>
      <c r="I3" s="652"/>
      <c r="J3" s="652"/>
      <c r="K3" s="652"/>
      <c r="L3" s="652"/>
      <c r="N3" s="652"/>
      <c r="O3" s="652"/>
      <c r="Q3" s="655"/>
    </row>
    <row r="4" spans="1:24" ht="21.75" customHeight="1">
      <c r="C4" s="652"/>
      <c r="D4" s="652"/>
      <c r="E4" s="652"/>
      <c r="F4" s="653"/>
      <c r="G4" s="653"/>
      <c r="H4" s="656"/>
      <c r="I4" s="656" t="s">
        <v>1865</v>
      </c>
      <c r="J4" s="652"/>
      <c r="K4" s="652"/>
      <c r="L4" s="652"/>
      <c r="N4" s="652"/>
      <c r="O4" s="652"/>
      <c r="Q4" s="655"/>
    </row>
    <row r="5" spans="1:24" ht="27" customHeight="1">
      <c r="B5" s="657" t="s">
        <v>1866</v>
      </c>
      <c r="C5" s="658"/>
      <c r="D5" s="658"/>
      <c r="E5" s="658"/>
      <c r="F5" s="658"/>
      <c r="G5" s="658"/>
      <c r="H5" s="658"/>
      <c r="I5" s="658"/>
      <c r="J5" s="658"/>
      <c r="K5" s="658"/>
      <c r="L5" s="658"/>
      <c r="M5" s="658"/>
      <c r="N5" s="657"/>
      <c r="O5" s="658"/>
      <c r="P5" s="658"/>
      <c r="Q5" s="658"/>
    </row>
    <row r="6" spans="1:24" ht="72.75" customHeight="1">
      <c r="B6" s="1737" t="s">
        <v>1867</v>
      </c>
      <c r="C6" s="1738"/>
      <c r="D6" s="1738"/>
      <c r="E6" s="1738"/>
      <c r="F6" s="1738"/>
      <c r="G6" s="1738"/>
      <c r="H6" s="1738"/>
      <c r="I6" s="1738"/>
      <c r="J6" s="1738"/>
      <c r="K6" s="1738"/>
      <c r="L6" s="1738"/>
      <c r="M6" s="1738"/>
      <c r="N6" s="1738"/>
      <c r="O6" s="1738"/>
      <c r="P6" s="1738"/>
      <c r="Q6" s="1738"/>
    </row>
    <row r="7" spans="1:24" ht="19.5" customHeight="1">
      <c r="B7" s="1739" t="s">
        <v>1868</v>
      </c>
      <c r="C7" s="1739"/>
      <c r="D7" s="1739"/>
      <c r="E7" s="1740" t="s">
        <v>1869</v>
      </c>
      <c r="F7" s="1740"/>
      <c r="G7" s="1740"/>
      <c r="H7" s="1741" t="s">
        <v>1870</v>
      </c>
      <c r="I7" s="1742"/>
      <c r="J7" s="1742"/>
      <c r="K7" s="1742"/>
      <c r="L7" s="1742"/>
      <c r="M7" s="1742"/>
      <c r="N7" s="1740" t="s">
        <v>1871</v>
      </c>
      <c r="O7" s="1740"/>
      <c r="P7" s="1740"/>
      <c r="Q7" s="1739" t="s">
        <v>1872</v>
      </c>
      <c r="R7" s="1748"/>
      <c r="S7" s="1749"/>
      <c r="T7" s="1749"/>
      <c r="U7" s="1749"/>
      <c r="V7" s="1749"/>
      <c r="W7" s="1749"/>
      <c r="X7" s="1749"/>
    </row>
    <row r="8" spans="1:24" ht="18" customHeight="1">
      <c r="B8" s="1739" t="s">
        <v>1873</v>
      </c>
      <c r="C8" s="1740" t="s">
        <v>1874</v>
      </c>
      <c r="D8" s="1740"/>
      <c r="E8" s="1740" t="s">
        <v>1875</v>
      </c>
      <c r="F8" s="1739" t="s">
        <v>1876</v>
      </c>
      <c r="G8" s="1739" t="s">
        <v>1877</v>
      </c>
      <c r="H8" s="1743"/>
      <c r="I8" s="1744"/>
      <c r="J8" s="1744"/>
      <c r="K8" s="1744"/>
      <c r="L8" s="1744"/>
      <c r="M8" s="1744"/>
      <c r="N8" s="1740" t="s">
        <v>1878</v>
      </c>
      <c r="O8" s="1739" t="s">
        <v>1879</v>
      </c>
      <c r="P8" s="1740" t="s">
        <v>1880</v>
      </c>
      <c r="Q8" s="1740"/>
      <c r="R8" s="1748"/>
      <c r="S8" s="1749"/>
      <c r="T8" s="1749"/>
      <c r="U8" s="1749"/>
      <c r="V8" s="1749"/>
      <c r="W8" s="1749"/>
      <c r="X8" s="1749"/>
    </row>
    <row r="9" spans="1:24" ht="21" customHeight="1">
      <c r="B9" s="1739"/>
      <c r="C9" s="659" t="s">
        <v>1881</v>
      </c>
      <c r="D9" s="659" t="s">
        <v>1874</v>
      </c>
      <c r="E9" s="1740"/>
      <c r="F9" s="1739"/>
      <c r="G9" s="1740"/>
      <c r="H9" s="1745"/>
      <c r="I9" s="1746"/>
      <c r="J9" s="1746"/>
      <c r="K9" s="1746"/>
      <c r="L9" s="1746"/>
      <c r="M9" s="1746"/>
      <c r="N9" s="1740"/>
      <c r="O9" s="1739"/>
      <c r="P9" s="1740"/>
      <c r="Q9" s="1740"/>
      <c r="R9" s="1748"/>
      <c r="S9" s="1749"/>
      <c r="T9" s="1749"/>
      <c r="U9" s="1749"/>
      <c r="V9" s="1749"/>
      <c r="W9" s="1749"/>
      <c r="X9" s="1749"/>
    </row>
    <row r="10" spans="1:24">
      <c r="A10" s="660"/>
      <c r="B10" s="661"/>
      <c r="C10" s="662"/>
      <c r="D10" s="663"/>
      <c r="E10" s="664"/>
      <c r="F10" s="664"/>
      <c r="G10" s="665">
        <f>SUM(E10+F10)</f>
        <v>0</v>
      </c>
      <c r="H10" s="666"/>
      <c r="I10" s="666"/>
      <c r="J10" s="666"/>
      <c r="K10" s="666"/>
      <c r="L10" s="666"/>
      <c r="M10" s="666"/>
      <c r="N10" s="667"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68" t="str">
        <f>IF(H10="","",(IFERROR(VLOOKUP($H10,[8]【選択肢】!$K$3:$O$86,4,)," ")&amp;IF(I10="","",","&amp;IFERROR(VLOOKUP($I10,[8]【選択肢】!$K$3:$O$86,4,)," ")&amp;IF(J10="","",","&amp;IFERROR(VLOOKUP($J10,[8]【選択肢】!$K$3:$O$86,4,)," ")&amp;IF(K10="","",","&amp;IFERROR(VLOOKUP($K10,[8]【選択肢】!$K$3:$O$86,4,)," ")&amp;IF(L10="","",","&amp;IFERROR(VLOOKUP($L10,[8]【選択肢】!$K$3:$O$86,4,)," ")&amp;IF(M10="","",","&amp;IFERROR(VLOOKUP($M10,[8]【選択肢】!$K$3:$O$86,4,)," "))))))))</f>
        <v/>
      </c>
      <c r="P10" s="667"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69"/>
      <c r="R10" s="670"/>
      <c r="S10" s="660"/>
      <c r="T10" s="660"/>
      <c r="U10" s="660"/>
      <c r="V10" s="660"/>
      <c r="W10" s="660"/>
      <c r="X10" s="660"/>
    </row>
    <row r="11" spans="1:24">
      <c r="B11" s="671"/>
      <c r="C11" s="672"/>
      <c r="D11" s="673"/>
      <c r="E11" s="674"/>
      <c r="F11" s="674"/>
      <c r="G11" s="675">
        <f>SUM(E11+F11)</f>
        <v>0</v>
      </c>
      <c r="H11" s="676"/>
      <c r="I11" s="676"/>
      <c r="J11" s="676"/>
      <c r="K11" s="676"/>
      <c r="L11" s="676"/>
      <c r="M11" s="676"/>
      <c r="N11" s="667"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68" t="str">
        <f>IF(H11="","",(IFERROR(VLOOKUP($H11,[8]【選択肢】!$K$3:$O$86,4,)," ")&amp;IF(I11="","",","&amp;IFERROR(VLOOKUP($I11,[8]【選択肢】!$K$3:$O$86,4,)," ")&amp;IF(J11="","",","&amp;IFERROR(VLOOKUP($J11,[8]【選択肢】!$K$3:$O$86,4,)," ")&amp;IF(K11="","",","&amp;IFERROR(VLOOKUP($K11,[8]【選択肢】!$K$3:$O$86,4,)," ")&amp;IF(L11="","",","&amp;IFERROR(VLOOKUP($L11,[8]【選択肢】!$K$3:$O$86,4,)," ")&amp;IF(M11="","",","&amp;IFERROR(VLOOKUP($M11,[8]【選択肢】!$K$3:$O$86,4,)," "))))))))</f>
        <v/>
      </c>
      <c r="P11" s="667" t="str">
        <f>IF(H11="","",(IFERROR(VLOOKUP($H11,[8]【選択肢】!$K$3:$O$86,5,)," ")&amp;IF(I11="","",","&amp;IFERROR(VLOOKUP($I11,[8]【選択肢】!$K$3:$O$86,5,)," ")&amp;IF(J11="","",","&amp;IFERROR(VLOOKUP($J11,[8]【選択肢】!$K$3:$O$86,5,)," ")&amp;IF(K11="","",","&amp;IFERROR(VLOOKUP($K11,[8]【選択肢】!$K$3:$O$86,5,)," ")&amp;IF(L11="","",","&amp;IFERROR(VLOOKUP($L11,[8]【選択肢】!$K$3:$O$86,5,)," ")&amp;IF(M11="","",","&amp;IFERROR(VLOOKUP($M11,[8]【選択肢】!$K$3:$O$86,5,)," "))))))))</f>
        <v/>
      </c>
      <c r="Q11" s="677"/>
      <c r="R11" s="670"/>
      <c r="S11" s="660"/>
      <c r="T11" s="660"/>
      <c r="U11" s="660"/>
      <c r="V11" s="660"/>
      <c r="W11" s="660"/>
      <c r="X11" s="660"/>
    </row>
    <row r="12" spans="1:24">
      <c r="B12" s="671"/>
      <c r="C12" s="672"/>
      <c r="D12" s="673"/>
      <c r="E12" s="674"/>
      <c r="F12" s="674"/>
      <c r="G12" s="675">
        <f>SUM(E12+F12)</f>
        <v>0</v>
      </c>
      <c r="H12" s="676"/>
      <c r="I12" s="676"/>
      <c r="J12" s="676"/>
      <c r="K12" s="676"/>
      <c r="L12" s="676"/>
      <c r="M12" s="676"/>
      <c r="N12" s="667"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68" t="str">
        <f>IF(H12="","",(IFERROR(VLOOKUP($H12,[8]【選択肢】!$K$3:$O$86,4,)," ")&amp;IF(I12="","",","&amp;IFERROR(VLOOKUP($I12,[8]【選択肢】!$K$3:$O$86,4,)," ")&amp;IF(J12="","",","&amp;IFERROR(VLOOKUP($J12,[8]【選択肢】!$K$3:$O$86,4,)," ")&amp;IF(K12="","",","&amp;IFERROR(VLOOKUP($K12,[8]【選択肢】!$K$3:$O$86,4,)," ")&amp;IF(L12="","",","&amp;IFERROR(VLOOKUP($L12,[8]【選択肢】!$K$3:$O$86,4,)," ")&amp;IF(M12="","",","&amp;IFERROR(VLOOKUP($M12,[8]【選択肢】!$K$3:$O$86,4,)," "))))))))</f>
        <v/>
      </c>
      <c r="P12" s="667" t="str">
        <f>IF(H12="","",(IFERROR(VLOOKUP($H12,[8]【選択肢】!$K$3:$O$86,5,)," ")&amp;IF(I12="","",","&amp;IFERROR(VLOOKUP($I12,[8]【選択肢】!$K$3:$O$86,5,)," ")&amp;IF(J12="","",","&amp;IFERROR(VLOOKUP($J12,[8]【選択肢】!$K$3:$O$86,5,)," ")&amp;IF(K12="","",","&amp;IFERROR(VLOOKUP($K12,[8]【選択肢】!$K$3:$O$86,5,)," ")&amp;IF(L12="","",","&amp;IFERROR(VLOOKUP($L12,[8]【選択肢】!$K$3:$O$86,5,)," ")&amp;IF(M12="","",","&amp;IFERROR(VLOOKUP($M12,[8]【選択肢】!$K$3:$O$86,5,)," "))))))))</f>
        <v/>
      </c>
      <c r="Q12" s="677"/>
      <c r="R12" s="670"/>
      <c r="S12" s="660"/>
      <c r="T12" s="660"/>
      <c r="U12" s="660"/>
      <c r="V12" s="660"/>
      <c r="W12" s="660"/>
      <c r="X12" s="660"/>
    </row>
    <row r="13" spans="1:24">
      <c r="B13" s="671"/>
      <c r="C13" s="678"/>
      <c r="D13" s="673"/>
      <c r="E13" s="674"/>
      <c r="F13" s="679"/>
      <c r="G13" s="675">
        <f>SUM(E13+F13)</f>
        <v>0</v>
      </c>
      <c r="H13" s="680"/>
      <c r="I13" s="680"/>
      <c r="J13" s="680"/>
      <c r="K13" s="680"/>
      <c r="L13" s="680"/>
      <c r="M13" s="680"/>
      <c r="N13" s="667"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68" t="str">
        <f>IF(H13="","",(IFERROR(VLOOKUP($H13,[8]【選択肢】!$K$3:$O$86,4,)," ")&amp;IF(I13="","",","&amp;IFERROR(VLOOKUP($I13,[8]【選択肢】!$K$3:$O$86,4,)," ")&amp;IF(J13="","",","&amp;IFERROR(VLOOKUP($J13,[8]【選択肢】!$K$3:$O$86,4,)," ")&amp;IF(K13="","",","&amp;IFERROR(VLOOKUP($K13,[8]【選択肢】!$K$3:$O$86,4,)," ")&amp;IF(L13="","",","&amp;IFERROR(VLOOKUP($L13,[8]【選択肢】!$K$3:$O$86,4,)," ")&amp;IF(M13="","",","&amp;IFERROR(VLOOKUP($M13,[8]【選択肢】!$K$3:$O$86,4,)," "))))))))</f>
        <v/>
      </c>
      <c r="P13" s="667" t="str">
        <f>IF(H13="","",(IFERROR(VLOOKUP($H13,[8]【選択肢】!$K$3:$O$86,5,)," ")&amp;IF(I13="","",","&amp;IFERROR(VLOOKUP($I13,[8]【選択肢】!$K$3:$O$86,5,)," ")&amp;IF(J13="","",","&amp;IFERROR(VLOOKUP($J13,[8]【選択肢】!$K$3:$O$86,5,)," ")&amp;IF(K13="","",","&amp;IFERROR(VLOOKUP($K13,[8]【選択肢】!$K$3:$O$86,5,)," ")&amp;IF(L13="","",","&amp;IFERROR(VLOOKUP($L13,[8]【選択肢】!$K$3:$O$86,5,)," ")&amp;IF(M13="","",","&amp;IFERROR(VLOOKUP($M13,[8]【選択肢】!$K$3:$O$86,5,)," "))))))))</f>
        <v/>
      </c>
      <c r="Q13" s="681"/>
      <c r="R13" s="670"/>
      <c r="S13" s="660"/>
      <c r="T13" s="660"/>
      <c r="U13" s="660"/>
      <c r="V13" s="660"/>
      <c r="W13" s="660"/>
      <c r="X13" s="660"/>
    </row>
    <row r="14" spans="1:24">
      <c r="B14" s="671"/>
      <c r="C14" s="672"/>
      <c r="D14" s="673"/>
      <c r="E14" s="674"/>
      <c r="F14" s="674"/>
      <c r="G14" s="675">
        <f t="shared" ref="G14:G22" si="0">SUM(E14+F14)</f>
        <v>0</v>
      </c>
      <c r="H14" s="676"/>
      <c r="I14" s="676"/>
      <c r="J14" s="676"/>
      <c r="K14" s="676"/>
      <c r="L14" s="676"/>
      <c r="M14" s="676"/>
      <c r="N14" s="667"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68" t="str">
        <f>IF(H14="","",(IFERROR(VLOOKUP($H14,[8]【選択肢】!$K$3:$O$86,4,)," ")&amp;IF(I14="","",","&amp;IFERROR(VLOOKUP($I14,[8]【選択肢】!$K$3:$O$86,4,)," ")&amp;IF(J14="","",","&amp;IFERROR(VLOOKUP($J14,[8]【選択肢】!$K$3:$O$86,4,)," ")&amp;IF(K14="","",","&amp;IFERROR(VLOOKUP($K14,[8]【選択肢】!$K$3:$O$86,4,)," ")&amp;IF(L14="","",","&amp;IFERROR(VLOOKUP($L14,[8]【選択肢】!$K$3:$O$86,4,)," ")&amp;IF(M14="","",","&amp;IFERROR(VLOOKUP($M14,[8]【選択肢】!$K$3:$O$86,4,)," "))))))))</f>
        <v/>
      </c>
      <c r="P14" s="667" t="str">
        <f>IF(H14="","",(IFERROR(VLOOKUP($H14,[8]【選択肢】!$K$3:$O$86,5,)," ")&amp;IF(I14="","",","&amp;IFERROR(VLOOKUP($I14,[8]【選択肢】!$K$3:$O$86,5,)," ")&amp;IF(J14="","",","&amp;IFERROR(VLOOKUP($J14,[8]【選択肢】!$K$3:$O$86,5,)," ")&amp;IF(K14="","",","&amp;IFERROR(VLOOKUP($K14,[8]【選択肢】!$K$3:$O$86,5,)," ")&amp;IF(L14="","",","&amp;IFERROR(VLOOKUP($L14,[8]【選択肢】!$K$3:$O$86,5,)," ")&amp;IF(M14="","",","&amp;IFERROR(VLOOKUP($M14,[8]【選択肢】!$K$3:$O$86,5,)," "))))))))</f>
        <v/>
      </c>
      <c r="Q14" s="677"/>
      <c r="R14" s="670"/>
      <c r="S14" s="660"/>
      <c r="T14" s="660"/>
      <c r="U14" s="660"/>
      <c r="V14" s="660"/>
      <c r="W14" s="660"/>
      <c r="X14" s="660"/>
    </row>
    <row r="15" spans="1:24">
      <c r="B15" s="671"/>
      <c r="C15" s="672"/>
      <c r="D15" s="673"/>
      <c r="E15" s="674"/>
      <c r="F15" s="674"/>
      <c r="G15" s="675">
        <f t="shared" si="0"/>
        <v>0</v>
      </c>
      <c r="H15" s="676"/>
      <c r="I15" s="676"/>
      <c r="J15" s="676"/>
      <c r="K15" s="676"/>
      <c r="L15" s="676"/>
      <c r="M15" s="676"/>
      <c r="N15" s="667"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68" t="str">
        <f>IF(H15="","",(IFERROR(VLOOKUP($H15,[8]【選択肢】!$K$3:$O$86,4,)," ")&amp;IF(I15="","",","&amp;IFERROR(VLOOKUP($I15,[8]【選択肢】!$K$3:$O$86,4,)," ")&amp;IF(J15="","",","&amp;IFERROR(VLOOKUP($J15,[8]【選択肢】!$K$3:$O$86,4,)," ")&amp;IF(K15="","",","&amp;IFERROR(VLOOKUP($K15,[8]【選択肢】!$K$3:$O$86,4,)," ")&amp;IF(L15="","",","&amp;IFERROR(VLOOKUP($L15,[8]【選択肢】!$K$3:$O$86,4,)," ")&amp;IF(M15="","",","&amp;IFERROR(VLOOKUP($M15,[8]【選択肢】!$K$3:$O$86,4,)," "))))))))</f>
        <v/>
      </c>
      <c r="P15" s="667" t="str">
        <f>IF(H15="","",(IFERROR(VLOOKUP($H15,[8]【選択肢】!$K$3:$O$86,5,)," ")&amp;IF(I15="","",","&amp;IFERROR(VLOOKUP($I15,[8]【選択肢】!$K$3:$O$86,5,)," ")&amp;IF(J15="","",","&amp;IFERROR(VLOOKUP($J15,[8]【選択肢】!$K$3:$O$86,5,)," ")&amp;IF(K15="","",","&amp;IFERROR(VLOOKUP($K15,[8]【選択肢】!$K$3:$O$86,5,)," ")&amp;IF(L15="","",","&amp;IFERROR(VLOOKUP($L15,[8]【選択肢】!$K$3:$O$86,5,)," ")&amp;IF(M15="","",","&amp;IFERROR(VLOOKUP($M15,[8]【選択肢】!$K$3:$O$86,5,)," "))))))))</f>
        <v/>
      </c>
      <c r="Q15" s="677"/>
      <c r="R15" s="670"/>
      <c r="S15" s="660"/>
      <c r="T15" s="660"/>
      <c r="U15" s="660"/>
      <c r="V15" s="660"/>
      <c r="W15" s="660"/>
      <c r="X15" s="660"/>
    </row>
    <row r="16" spans="1:24">
      <c r="B16" s="671"/>
      <c r="C16" s="672"/>
      <c r="D16" s="673"/>
      <c r="E16" s="674"/>
      <c r="F16" s="674"/>
      <c r="G16" s="675">
        <f t="shared" si="0"/>
        <v>0</v>
      </c>
      <c r="H16" s="676"/>
      <c r="I16" s="676"/>
      <c r="J16" s="676"/>
      <c r="K16" s="676"/>
      <c r="L16" s="676"/>
      <c r="M16" s="676"/>
      <c r="N16" s="667"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68" t="str">
        <f>IF(H16="","",(IFERROR(VLOOKUP($H16,[8]【選択肢】!$K$3:$O$86,4,)," ")&amp;IF(I16="","",","&amp;IFERROR(VLOOKUP($I16,[8]【選択肢】!$K$3:$O$86,4,)," ")&amp;IF(J16="","",","&amp;IFERROR(VLOOKUP($J16,[8]【選択肢】!$K$3:$O$86,4,)," ")&amp;IF(K16="","",","&amp;IFERROR(VLOOKUP($K16,[8]【選択肢】!$K$3:$O$86,4,)," ")&amp;IF(L16="","",","&amp;IFERROR(VLOOKUP($L16,[8]【選択肢】!$K$3:$O$86,4,)," ")&amp;IF(M16="","",","&amp;IFERROR(VLOOKUP($M16,[8]【選択肢】!$K$3:$O$86,4,)," "))))))))</f>
        <v/>
      </c>
      <c r="P16" s="667" t="str">
        <f>IF(H16="","",(IFERROR(VLOOKUP($H16,[8]【選択肢】!$K$3:$O$86,5,)," ")&amp;IF(I16="","",","&amp;IFERROR(VLOOKUP($I16,[8]【選択肢】!$K$3:$O$86,5,)," ")&amp;IF(J16="","",","&amp;IFERROR(VLOOKUP($J16,[8]【選択肢】!$K$3:$O$86,5,)," ")&amp;IF(K16="","",","&amp;IFERROR(VLOOKUP($K16,[8]【選択肢】!$K$3:$O$86,5,)," ")&amp;IF(L16="","",","&amp;IFERROR(VLOOKUP($L16,[8]【選択肢】!$K$3:$O$86,5,)," ")&amp;IF(M16="","",","&amp;IFERROR(VLOOKUP($M16,[8]【選択肢】!$K$3:$O$86,5,)," "))))))))</f>
        <v/>
      </c>
      <c r="Q16" s="677"/>
      <c r="R16" s="670"/>
      <c r="S16" s="660"/>
      <c r="T16" s="660"/>
      <c r="U16" s="660"/>
      <c r="V16" s="660"/>
      <c r="W16" s="660"/>
      <c r="X16" s="660"/>
    </row>
    <row r="17" spans="2:24">
      <c r="B17" s="671"/>
      <c r="C17" s="672"/>
      <c r="D17" s="673"/>
      <c r="E17" s="674"/>
      <c r="F17" s="674"/>
      <c r="G17" s="675">
        <f t="shared" si="0"/>
        <v>0</v>
      </c>
      <c r="H17" s="676"/>
      <c r="I17" s="676"/>
      <c r="J17" s="676"/>
      <c r="K17" s="676"/>
      <c r="L17" s="676"/>
      <c r="M17" s="676"/>
      <c r="N17" s="667"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68" t="str">
        <f>IF(H17="","",(IFERROR(VLOOKUP($H17,[8]【選択肢】!$K$3:$O$86,4,)," ")&amp;IF(I17="","",","&amp;IFERROR(VLOOKUP($I17,[8]【選択肢】!$K$3:$O$86,4,)," ")&amp;IF(J17="","",","&amp;IFERROR(VLOOKUP($J17,[8]【選択肢】!$K$3:$O$86,4,)," ")&amp;IF(K17="","",","&amp;IFERROR(VLOOKUP($K17,[8]【選択肢】!$K$3:$O$86,4,)," ")&amp;IF(L17="","",","&amp;IFERROR(VLOOKUP($L17,[8]【選択肢】!$K$3:$O$86,4,)," ")&amp;IF(M17="","",","&amp;IFERROR(VLOOKUP($M17,[8]【選択肢】!$K$3:$O$86,4,)," "))))))))</f>
        <v/>
      </c>
      <c r="P17" s="667" t="str">
        <f>IF(H17="","",(IFERROR(VLOOKUP($H17,[8]【選択肢】!$K$3:$O$86,5,)," ")&amp;IF(I17="","",","&amp;IFERROR(VLOOKUP($I17,[8]【選択肢】!$K$3:$O$86,5,)," ")&amp;IF(J17="","",","&amp;IFERROR(VLOOKUP($J17,[8]【選択肢】!$K$3:$O$86,5,)," ")&amp;IF(K17="","",","&amp;IFERROR(VLOOKUP($K17,[8]【選択肢】!$K$3:$O$86,5,)," ")&amp;IF(L17="","",","&amp;IFERROR(VLOOKUP($L17,[8]【選択肢】!$K$3:$O$86,5,)," ")&amp;IF(M17="","",","&amp;IFERROR(VLOOKUP($M17,[8]【選択肢】!$K$3:$O$86,5,)," "))))))))</f>
        <v/>
      </c>
      <c r="Q17" s="677"/>
      <c r="R17" s="670"/>
      <c r="S17" s="660"/>
      <c r="T17" s="660"/>
      <c r="U17" s="660"/>
      <c r="V17" s="660"/>
      <c r="W17" s="660"/>
      <c r="X17" s="660"/>
    </row>
    <row r="18" spans="2:24">
      <c r="B18" s="671"/>
      <c r="C18" s="672"/>
      <c r="D18" s="673"/>
      <c r="E18" s="674"/>
      <c r="F18" s="674"/>
      <c r="G18" s="675">
        <f>SUM(E18+F18)</f>
        <v>0</v>
      </c>
      <c r="H18" s="676"/>
      <c r="I18" s="676"/>
      <c r="J18" s="676"/>
      <c r="K18" s="676"/>
      <c r="L18" s="676"/>
      <c r="M18" s="676"/>
      <c r="N18" s="667"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68" t="str">
        <f>IF(H18="","",(IFERROR(VLOOKUP($H18,[8]【選択肢】!$K$3:$O$86,4,)," ")&amp;IF(I18="","",","&amp;IFERROR(VLOOKUP($I18,[8]【選択肢】!$K$3:$O$86,4,)," ")&amp;IF(J18="","",","&amp;IFERROR(VLOOKUP($J18,[8]【選択肢】!$K$3:$O$86,4,)," ")&amp;IF(K18="","",","&amp;IFERROR(VLOOKUP($K18,[8]【選択肢】!$K$3:$O$86,4,)," ")&amp;IF(L18="","",","&amp;IFERROR(VLOOKUP($L18,[8]【選択肢】!$K$3:$O$86,4,)," ")&amp;IF(M18="","",","&amp;IFERROR(VLOOKUP($M18,[8]【選択肢】!$K$3:$O$86,4,)," "))))))))</f>
        <v/>
      </c>
      <c r="P18" s="667" t="str">
        <f>IF(H18="","",(IFERROR(VLOOKUP($H18,[8]【選択肢】!$K$3:$O$86,5,)," ")&amp;IF(I18="","",","&amp;IFERROR(VLOOKUP($I18,[8]【選択肢】!$K$3:$O$86,5,)," ")&amp;IF(J18="","",","&amp;IFERROR(VLOOKUP($J18,[8]【選択肢】!$K$3:$O$86,5,)," ")&amp;IF(K18="","",","&amp;IFERROR(VLOOKUP($K18,[8]【選択肢】!$K$3:$O$86,5,)," ")&amp;IF(L18="","",","&amp;IFERROR(VLOOKUP($L18,[8]【選択肢】!$K$3:$O$86,5,)," ")&amp;IF(M18="","",","&amp;IFERROR(VLOOKUP($M18,[8]【選択肢】!$K$3:$O$86,5,)," "))))))))</f>
        <v/>
      </c>
      <c r="Q18" s="677"/>
      <c r="R18" s="670"/>
      <c r="S18" s="660"/>
      <c r="T18" s="660"/>
      <c r="U18" s="660"/>
      <c r="V18" s="660"/>
      <c r="W18" s="660"/>
      <c r="X18" s="660"/>
    </row>
    <row r="19" spans="2:24">
      <c r="B19" s="671"/>
      <c r="C19" s="672"/>
      <c r="D19" s="673"/>
      <c r="E19" s="674"/>
      <c r="F19" s="674"/>
      <c r="G19" s="675">
        <f t="shared" si="0"/>
        <v>0</v>
      </c>
      <c r="H19" s="676"/>
      <c r="I19" s="676"/>
      <c r="J19" s="676"/>
      <c r="K19" s="676"/>
      <c r="L19" s="676"/>
      <c r="M19" s="676"/>
      <c r="N19" s="667"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68" t="str">
        <f>IF(H19="","",(IFERROR(VLOOKUP($H19,[8]【選択肢】!$K$3:$O$86,4,)," ")&amp;IF(I19="","",","&amp;IFERROR(VLOOKUP($I19,[8]【選択肢】!$K$3:$O$86,4,)," ")&amp;IF(J19="","",","&amp;IFERROR(VLOOKUP($J19,[8]【選択肢】!$K$3:$O$86,4,)," ")&amp;IF(K19="","",","&amp;IFERROR(VLOOKUP($K19,[8]【選択肢】!$K$3:$O$86,4,)," ")&amp;IF(L19="","",","&amp;IFERROR(VLOOKUP($L19,[8]【選択肢】!$K$3:$O$86,4,)," ")&amp;IF(M19="","",","&amp;IFERROR(VLOOKUP($M19,[8]【選択肢】!$K$3:$O$86,4,)," "))))))))</f>
        <v/>
      </c>
      <c r="P19" s="667" t="str">
        <f>IF(H19="","",(IFERROR(VLOOKUP($H19,[8]【選択肢】!$K$3:$O$86,5,)," ")&amp;IF(I19="","",","&amp;IFERROR(VLOOKUP($I19,[8]【選択肢】!$K$3:$O$86,5,)," ")&amp;IF(J19="","",","&amp;IFERROR(VLOOKUP($J19,[8]【選択肢】!$K$3:$O$86,5,)," ")&amp;IF(K19="","",","&amp;IFERROR(VLOOKUP($K19,[8]【選択肢】!$K$3:$O$86,5,)," ")&amp;IF(L19="","",","&amp;IFERROR(VLOOKUP($L19,[8]【選択肢】!$K$3:$O$86,5,)," ")&amp;IF(M19="","",","&amp;IFERROR(VLOOKUP($M19,[8]【選択肢】!$K$3:$O$86,5,)," "))))))))</f>
        <v/>
      </c>
      <c r="Q19" s="677"/>
      <c r="R19" s="670"/>
      <c r="S19" s="660"/>
      <c r="T19" s="660"/>
      <c r="U19" s="660"/>
      <c r="V19" s="660"/>
      <c r="W19" s="660"/>
      <c r="X19" s="660"/>
    </row>
    <row r="20" spans="2:24">
      <c r="B20" s="671"/>
      <c r="C20" s="672"/>
      <c r="D20" s="673"/>
      <c r="E20" s="674"/>
      <c r="F20" s="674"/>
      <c r="G20" s="675">
        <f t="shared" si="0"/>
        <v>0</v>
      </c>
      <c r="H20" s="676"/>
      <c r="I20" s="676"/>
      <c r="J20" s="676"/>
      <c r="K20" s="676"/>
      <c r="L20" s="676"/>
      <c r="M20" s="676"/>
      <c r="N20" s="667"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68" t="str">
        <f>IF(H20="","",(IFERROR(VLOOKUP($H20,[8]【選択肢】!$K$3:$O$86,4,)," ")&amp;IF(I20="","",","&amp;IFERROR(VLOOKUP($I20,[8]【選択肢】!$K$3:$O$86,4,)," ")&amp;IF(J20="","",","&amp;IFERROR(VLOOKUP($J20,[8]【選択肢】!$K$3:$O$86,4,)," ")&amp;IF(K20="","",","&amp;IFERROR(VLOOKUP($K20,[8]【選択肢】!$K$3:$O$86,4,)," ")&amp;IF(L20="","",","&amp;IFERROR(VLOOKUP($L20,[8]【選択肢】!$K$3:$O$86,4,)," ")&amp;IF(M20="","",","&amp;IFERROR(VLOOKUP($M20,[8]【選択肢】!$K$3:$O$86,4,)," "))))))))</f>
        <v/>
      </c>
      <c r="P20" s="667" t="str">
        <f>IF(H20="","",(IFERROR(VLOOKUP($H20,[8]【選択肢】!$K$3:$O$86,5,)," ")&amp;IF(I20="","",","&amp;IFERROR(VLOOKUP($I20,[8]【選択肢】!$K$3:$O$86,5,)," ")&amp;IF(J20="","",","&amp;IFERROR(VLOOKUP($J20,[8]【選択肢】!$K$3:$O$86,5,)," ")&amp;IF(K20="","",","&amp;IFERROR(VLOOKUP($K20,[8]【選択肢】!$K$3:$O$86,5,)," ")&amp;IF(L20="","",","&amp;IFERROR(VLOOKUP($L20,[8]【選択肢】!$K$3:$O$86,5,)," ")&amp;IF(M20="","",","&amp;IFERROR(VLOOKUP($M20,[8]【選択肢】!$K$3:$O$86,5,)," "))))))))</f>
        <v/>
      </c>
      <c r="Q20" s="677"/>
      <c r="R20" s="670"/>
      <c r="S20" s="660"/>
      <c r="T20" s="660"/>
      <c r="U20" s="660"/>
      <c r="V20" s="660"/>
      <c r="W20" s="660"/>
      <c r="X20" s="660"/>
    </row>
    <row r="21" spans="2:24">
      <c r="B21" s="671"/>
      <c r="C21" s="672"/>
      <c r="D21" s="673"/>
      <c r="E21" s="674"/>
      <c r="F21" s="674"/>
      <c r="G21" s="675">
        <f t="shared" si="0"/>
        <v>0</v>
      </c>
      <c r="H21" s="676"/>
      <c r="I21" s="676"/>
      <c r="J21" s="676"/>
      <c r="K21" s="676"/>
      <c r="L21" s="676"/>
      <c r="M21" s="676"/>
      <c r="N21" s="667"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68" t="str">
        <f>IF(H21="","",(IFERROR(VLOOKUP($H21,[8]【選択肢】!$K$3:$O$86,4,)," ")&amp;IF(I21="","",","&amp;IFERROR(VLOOKUP($I21,[8]【選択肢】!$K$3:$O$86,4,)," ")&amp;IF(J21="","",","&amp;IFERROR(VLOOKUP($J21,[8]【選択肢】!$K$3:$O$86,4,)," ")&amp;IF(K21="","",","&amp;IFERROR(VLOOKUP($K21,[8]【選択肢】!$K$3:$O$86,4,)," ")&amp;IF(L21="","",","&amp;IFERROR(VLOOKUP($L21,[8]【選択肢】!$K$3:$O$86,4,)," ")&amp;IF(M21="","",","&amp;IFERROR(VLOOKUP($M21,[8]【選択肢】!$K$3:$O$86,4,)," "))))))))</f>
        <v/>
      </c>
      <c r="P21" s="667" t="str">
        <f>IF(H21="","",(IFERROR(VLOOKUP($H21,[8]【選択肢】!$K$3:$O$86,5,)," ")&amp;IF(I21="","",","&amp;IFERROR(VLOOKUP($I21,[8]【選択肢】!$K$3:$O$86,5,)," ")&amp;IF(J21="","",","&amp;IFERROR(VLOOKUP($J21,[8]【選択肢】!$K$3:$O$86,5,)," ")&amp;IF(K21="","",","&amp;IFERROR(VLOOKUP($K21,[8]【選択肢】!$K$3:$O$86,5,)," ")&amp;IF(L21="","",","&amp;IFERROR(VLOOKUP($L21,[8]【選択肢】!$K$3:$O$86,5,)," ")&amp;IF(M21="","",","&amp;IFERROR(VLOOKUP($M21,[8]【選択肢】!$K$3:$O$86,5,)," "))))))))</f>
        <v/>
      </c>
      <c r="Q21" s="677"/>
      <c r="R21" s="670"/>
      <c r="S21" s="660"/>
      <c r="T21" s="660"/>
      <c r="U21" s="660"/>
      <c r="V21" s="660"/>
      <c r="W21" s="660"/>
      <c r="X21" s="660"/>
    </row>
    <row r="22" spans="2:24">
      <c r="B22" s="671"/>
      <c r="C22" s="672"/>
      <c r="D22" s="673"/>
      <c r="E22" s="674"/>
      <c r="F22" s="674"/>
      <c r="G22" s="675">
        <f t="shared" si="0"/>
        <v>0</v>
      </c>
      <c r="H22" s="676"/>
      <c r="I22" s="676"/>
      <c r="J22" s="676"/>
      <c r="K22" s="676"/>
      <c r="L22" s="676"/>
      <c r="M22" s="676"/>
      <c r="N22" s="667"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68" t="str">
        <f>IF(H22="","",(IFERROR(VLOOKUP($H22,[8]【選択肢】!$K$3:$O$86,4,)," ")&amp;IF(I22="","",","&amp;IFERROR(VLOOKUP($I22,[8]【選択肢】!$K$3:$O$86,4,)," ")&amp;IF(J22="","",","&amp;IFERROR(VLOOKUP($J22,[8]【選択肢】!$K$3:$O$86,4,)," ")&amp;IF(K22="","",","&amp;IFERROR(VLOOKUP($K22,[8]【選択肢】!$K$3:$O$86,4,)," ")&amp;IF(L22="","",","&amp;IFERROR(VLOOKUP($L22,[8]【選択肢】!$K$3:$O$86,4,)," ")&amp;IF(M22="","",","&amp;IFERROR(VLOOKUP($M22,[8]【選択肢】!$K$3:$O$86,4,)," "))))))))</f>
        <v/>
      </c>
      <c r="P22" s="667" t="str">
        <f>IF(H22="","",(IFERROR(VLOOKUP($H22,[8]【選択肢】!$K$3:$O$86,5,)," ")&amp;IF(I22="","",","&amp;IFERROR(VLOOKUP($I22,[8]【選択肢】!$K$3:$O$86,5,)," ")&amp;IF(J22="","",","&amp;IFERROR(VLOOKUP($J22,[8]【選択肢】!$K$3:$O$86,5,)," ")&amp;IF(K22="","",","&amp;IFERROR(VLOOKUP($K22,[8]【選択肢】!$K$3:$O$86,5,)," ")&amp;IF(L22="","",","&amp;IFERROR(VLOOKUP($L22,[8]【選択肢】!$K$3:$O$86,5,)," ")&amp;IF(M22="","",","&amp;IFERROR(VLOOKUP($M22,[8]【選択肢】!$K$3:$O$86,5,)," "))))))))</f>
        <v/>
      </c>
      <c r="Q22" s="677"/>
      <c r="R22" s="670"/>
      <c r="S22" s="660"/>
      <c r="T22" s="660"/>
      <c r="U22" s="660"/>
      <c r="V22" s="660"/>
      <c r="W22" s="660"/>
      <c r="X22" s="660"/>
    </row>
    <row r="23" spans="2:24">
      <c r="B23" s="671"/>
      <c r="C23" s="672"/>
      <c r="D23" s="673"/>
      <c r="E23" s="674"/>
      <c r="F23" s="674"/>
      <c r="G23" s="675">
        <f>SUM(E23+F23)</f>
        <v>0</v>
      </c>
      <c r="H23" s="676"/>
      <c r="I23" s="676"/>
      <c r="J23" s="676"/>
      <c r="K23" s="676"/>
      <c r="L23" s="676"/>
      <c r="M23" s="676"/>
      <c r="N23" s="667"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68" t="str">
        <f>IF(H23="","",(IFERROR(VLOOKUP($H23,[8]【選択肢】!$K$3:$O$86,4,)," ")&amp;IF(I23="","",","&amp;IFERROR(VLOOKUP($I23,[8]【選択肢】!$K$3:$O$86,4,)," ")&amp;IF(J23="","",","&amp;IFERROR(VLOOKUP($J23,[8]【選択肢】!$K$3:$O$86,4,)," ")&amp;IF(K23="","",","&amp;IFERROR(VLOOKUP($K23,[8]【選択肢】!$K$3:$O$86,4,)," ")&amp;IF(L23="","",","&amp;IFERROR(VLOOKUP($L23,[8]【選択肢】!$K$3:$O$86,4,)," ")&amp;IF(M23="","",","&amp;IFERROR(VLOOKUP($M23,[8]【選択肢】!$K$3:$O$86,4,)," "))))))))</f>
        <v/>
      </c>
      <c r="P23" s="667" t="str">
        <f>IF(H23="","",(IFERROR(VLOOKUP($H23,[8]【選択肢】!$K$3:$O$86,5,)," ")&amp;IF(I23="","",","&amp;IFERROR(VLOOKUP($I23,[8]【選択肢】!$K$3:$O$86,5,)," ")&amp;IF(J23="","",","&amp;IFERROR(VLOOKUP($J23,[8]【選択肢】!$K$3:$O$86,5,)," ")&amp;IF(K23="","",","&amp;IFERROR(VLOOKUP($K23,[8]【選択肢】!$K$3:$O$86,5,)," ")&amp;IF(L23="","",","&amp;IFERROR(VLOOKUP($L23,[8]【選択肢】!$K$3:$O$86,5,)," ")&amp;IF(M23="","",","&amp;IFERROR(VLOOKUP($M23,[8]【選択肢】!$K$3:$O$86,5,)," "))))))))</f>
        <v/>
      </c>
      <c r="Q23" s="677"/>
      <c r="R23" s="670"/>
      <c r="S23" s="660"/>
      <c r="T23" s="660"/>
      <c r="U23" s="660"/>
      <c r="V23" s="660"/>
      <c r="W23" s="660"/>
      <c r="X23" s="660"/>
    </row>
    <row r="24" spans="2:24">
      <c r="B24" s="682"/>
      <c r="C24" s="678"/>
      <c r="D24" s="673"/>
      <c r="E24" s="674"/>
      <c r="F24" s="679"/>
      <c r="G24" s="675">
        <f>SUM(E24+F24)</f>
        <v>0</v>
      </c>
      <c r="H24" s="680"/>
      <c r="I24" s="680"/>
      <c r="J24" s="680"/>
      <c r="K24" s="680"/>
      <c r="L24" s="680"/>
      <c r="M24" s="680"/>
      <c r="N24" s="667" t="str">
        <f>IF(H24="","",(IFERROR(VLOOKUP($H24,【選択肢】!$K$3:$O$86,2,)," ")&amp;IF(I24="","",","&amp;IFERROR(VLOOKUP($I24,【選択肢】!$K$3:$O$86,2,)," ")&amp;IF(J24="","",","&amp;IFERROR(VLOOKUP($J24,【選択肢】!$K$3:$O$86,2,)," ")&amp;IF(K24="","",","&amp;IFERROR(VLOOKUP($K24,【選択肢】!$K$3:$O$86,2,)," ")&amp;IF(L24="","",","&amp;IFERROR(VLOOKUP($L24,【選択肢】!$K$3:$O$86,2,)," ")&amp;IF(M24="","",","&amp;IFERROR(VLOOKUP($M24,【選択肢】!$K$3:$O$86,2,)," "))))))))</f>
        <v/>
      </c>
      <c r="O24" s="668" t="str">
        <f>IF(H24="","",(IFERROR(VLOOKUP($H24,[8]【選択肢】!$K$3:$O$86,4,)," ")&amp;IF(I24="","",","&amp;IFERROR(VLOOKUP($I24,[8]【選択肢】!$K$3:$O$86,4,)," ")&amp;IF(J24="","",","&amp;IFERROR(VLOOKUP($J24,[8]【選択肢】!$K$3:$O$86,4,)," ")&amp;IF(K24="","",","&amp;IFERROR(VLOOKUP($K24,[8]【選択肢】!$K$3:$O$86,4,)," ")&amp;IF(L24="","",","&amp;IFERROR(VLOOKUP($L24,[8]【選択肢】!$K$3:$O$86,4,)," ")&amp;IF(M24="","",","&amp;IFERROR(VLOOKUP($M24,[8]【選択肢】!$K$3:$O$86,4,)," "))))))))</f>
        <v/>
      </c>
      <c r="P24" s="667" t="str">
        <f>IF(H24="","",(IFERROR(VLOOKUP($H24,[8]【選択肢】!$K$3:$O$86,5,)," ")&amp;IF(I24="","",","&amp;IFERROR(VLOOKUP($I24,[8]【選択肢】!$K$3:$O$86,5,)," ")&amp;IF(J24="","",","&amp;IFERROR(VLOOKUP($J24,[8]【選択肢】!$K$3:$O$86,5,)," ")&amp;IF(K24="","",","&amp;IFERROR(VLOOKUP($K24,[8]【選択肢】!$K$3:$O$86,5,)," ")&amp;IF(L24="","",","&amp;IFERROR(VLOOKUP($L24,[8]【選択肢】!$K$3:$O$86,5,)," ")&amp;IF(M24="","",","&amp;IFERROR(VLOOKUP($M24,[8]【選択肢】!$K$3:$O$86,5,)," "))))))))</f>
        <v/>
      </c>
      <c r="Q24" s="681"/>
      <c r="R24" s="670"/>
      <c r="S24" s="660"/>
      <c r="T24" s="660"/>
      <c r="U24" s="660"/>
      <c r="V24" s="660"/>
      <c r="W24" s="660"/>
      <c r="X24" s="660"/>
    </row>
    <row r="25" spans="2:24" ht="26.25" customHeight="1">
      <c r="B25" s="683"/>
      <c r="C25" s="684"/>
      <c r="D25" s="685"/>
      <c r="E25" s="686"/>
      <c r="F25" s="687" t="s">
        <v>1882</v>
      </c>
      <c r="G25" s="688"/>
      <c r="H25" s="689"/>
      <c r="I25" s="689"/>
      <c r="J25" s="689"/>
      <c r="K25" s="689"/>
      <c r="L25" s="689"/>
      <c r="M25" s="689"/>
      <c r="N25" s="690"/>
      <c r="O25" s="690"/>
      <c r="P25" s="690"/>
      <c r="Q25" s="691"/>
      <c r="R25" s="670"/>
      <c r="S25" s="660"/>
      <c r="T25" s="660"/>
      <c r="U25" s="660"/>
      <c r="V25" s="660"/>
      <c r="W25" s="660"/>
      <c r="X25" s="660"/>
    </row>
    <row r="26" spans="2:24" ht="18" customHeight="1">
      <c r="B26" s="692"/>
      <c r="C26" s="693"/>
      <c r="D26" s="694"/>
      <c r="E26" s="695"/>
      <c r="F26" s="695"/>
      <c r="G26" s="696"/>
      <c r="H26" s="697"/>
      <c r="I26" s="697"/>
      <c r="J26" s="697"/>
      <c r="K26" s="697"/>
      <c r="L26" s="697"/>
      <c r="M26" s="697"/>
      <c r="N26" s="698"/>
      <c r="O26" s="699"/>
      <c r="P26" s="700"/>
      <c r="Q26" s="701"/>
    </row>
    <row r="27" spans="2:24" ht="34.5" customHeight="1">
      <c r="B27" s="692"/>
      <c r="C27" s="693"/>
      <c r="D27" s="694"/>
      <c r="E27" s="702" t="s">
        <v>1875</v>
      </c>
      <c r="F27" s="703" t="s">
        <v>1883</v>
      </c>
      <c r="G27" s="704" t="s">
        <v>1884</v>
      </c>
      <c r="H27" s="697"/>
      <c r="I27" s="697"/>
      <c r="J27" s="697"/>
      <c r="K27" s="697"/>
      <c r="L27" s="697"/>
      <c r="M27" s="697"/>
      <c r="N27" s="698"/>
      <c r="O27" s="699"/>
      <c r="P27" s="700"/>
      <c r="Q27" s="701"/>
    </row>
    <row r="28" spans="2:24" ht="33" customHeight="1">
      <c r="B28" s="1750" t="s">
        <v>1885</v>
      </c>
      <c r="C28" s="1750"/>
      <c r="D28" s="1750"/>
      <c r="E28" s="705">
        <f>MAX(E10:E25)</f>
        <v>0</v>
      </c>
      <c r="F28" s="705">
        <f>MAX(F10:F25)</f>
        <v>0</v>
      </c>
      <c r="G28" s="706">
        <f>SUM(E28+F28)</f>
        <v>0</v>
      </c>
      <c r="H28" s="697"/>
      <c r="I28" s="697"/>
      <c r="J28" s="697"/>
      <c r="K28" s="697"/>
      <c r="L28" s="697"/>
      <c r="M28" s="697"/>
      <c r="N28" s="698"/>
      <c r="O28" s="699"/>
      <c r="P28" s="700"/>
      <c r="Q28" s="701"/>
    </row>
    <row r="29" spans="2:24" ht="33" customHeight="1">
      <c r="B29" s="692"/>
      <c r="C29" s="693"/>
      <c r="D29" s="694"/>
      <c r="E29" s="695"/>
      <c r="F29" s="695"/>
      <c r="G29" s="696"/>
      <c r="H29" s="697"/>
      <c r="I29" s="697"/>
      <c r="J29" s="697"/>
      <c r="K29" s="697"/>
      <c r="L29" s="697"/>
      <c r="M29" s="697"/>
      <c r="N29" s="698"/>
      <c r="O29" s="699"/>
      <c r="P29" s="700"/>
      <c r="Q29" s="701"/>
    </row>
    <row r="30" spans="2:24" ht="18" customHeight="1">
      <c r="B30" s="1751"/>
      <c r="C30" s="1752"/>
      <c r="D30" s="1753"/>
      <c r="E30" s="707"/>
      <c r="F30" s="707"/>
      <c r="G30" s="707"/>
      <c r="H30" s="707"/>
      <c r="I30" s="707"/>
      <c r="J30" s="707"/>
      <c r="K30" s="707"/>
      <c r="L30" s="707"/>
      <c r="M30" s="707"/>
      <c r="N30" s="708"/>
      <c r="O30" s="701"/>
      <c r="P30" s="1754"/>
      <c r="Q30" s="1747"/>
    </row>
    <row r="31" spans="2:24" ht="18" customHeight="1">
      <c r="B31" s="1751"/>
      <c r="C31" s="1752"/>
      <c r="D31" s="1753"/>
      <c r="E31" s="707"/>
      <c r="F31" s="707"/>
      <c r="G31" s="707"/>
      <c r="H31" s="707"/>
      <c r="I31" s="707"/>
      <c r="J31" s="707"/>
      <c r="K31" s="707"/>
      <c r="L31" s="707"/>
      <c r="M31" s="707"/>
      <c r="N31" s="708"/>
      <c r="P31" s="1754"/>
      <c r="Q31" s="1747"/>
    </row>
    <row r="32" spans="2:24" ht="18" customHeight="1">
      <c r="B32" s="1751"/>
      <c r="C32" s="1752"/>
      <c r="D32" s="1753"/>
      <c r="E32" s="707"/>
      <c r="F32" s="707"/>
      <c r="G32" s="707"/>
      <c r="H32" s="707"/>
      <c r="I32" s="707"/>
      <c r="J32" s="707"/>
      <c r="K32" s="707"/>
      <c r="L32" s="707"/>
      <c r="M32" s="707"/>
      <c r="N32" s="708"/>
      <c r="O32" s="701"/>
      <c r="P32" s="1754"/>
      <c r="Q32" s="1747"/>
    </row>
    <row r="33" spans="2:17" ht="18" customHeight="1">
      <c r="B33" s="1751"/>
      <c r="C33" s="1752"/>
      <c r="D33" s="1753"/>
      <c r="E33" s="707"/>
      <c r="F33" s="707"/>
      <c r="G33" s="707"/>
      <c r="H33" s="707"/>
      <c r="I33" s="707"/>
      <c r="J33" s="707"/>
      <c r="K33" s="707"/>
      <c r="L33" s="707"/>
      <c r="M33" s="707"/>
      <c r="N33" s="708"/>
      <c r="O33" s="701"/>
      <c r="P33" s="1754"/>
      <c r="Q33" s="1747"/>
    </row>
    <row r="34" spans="2:17" ht="18" customHeight="1">
      <c r="B34" s="1751"/>
      <c r="C34" s="1752"/>
      <c r="D34" s="1753"/>
      <c r="E34" s="707"/>
      <c r="F34" s="707"/>
      <c r="G34" s="707"/>
      <c r="H34" s="707"/>
      <c r="I34" s="707"/>
      <c r="J34" s="707"/>
      <c r="K34" s="707"/>
      <c r="L34" s="707"/>
      <c r="M34" s="707"/>
      <c r="N34" s="708"/>
      <c r="P34" s="1754"/>
      <c r="Q34" s="1747"/>
    </row>
    <row r="35" spans="2:17" ht="18" customHeight="1">
      <c r="B35" s="1751"/>
      <c r="C35" s="1752"/>
      <c r="D35" s="1753"/>
      <c r="E35" s="707"/>
      <c r="F35" s="707"/>
      <c r="G35" s="707"/>
      <c r="H35" s="707"/>
      <c r="I35" s="707"/>
      <c r="J35" s="707"/>
      <c r="K35" s="707"/>
      <c r="L35" s="707"/>
      <c r="M35" s="707"/>
      <c r="N35" s="708"/>
      <c r="O35" s="701"/>
      <c r="P35" s="1754"/>
      <c r="Q35" s="1747"/>
    </row>
    <row r="36" spans="2:17" ht="18" customHeight="1">
      <c r="B36" s="1751"/>
      <c r="C36" s="1752"/>
      <c r="D36" s="1753"/>
      <c r="E36" s="707"/>
      <c r="F36" s="707"/>
      <c r="G36" s="707"/>
      <c r="H36" s="707"/>
      <c r="I36" s="707"/>
      <c r="J36" s="707"/>
      <c r="K36" s="707"/>
      <c r="L36" s="707"/>
      <c r="M36" s="707"/>
      <c r="N36" s="708"/>
      <c r="O36" s="701"/>
      <c r="P36" s="1754"/>
      <c r="Q36" s="1747"/>
    </row>
    <row r="37" spans="2:17" ht="18" customHeight="1">
      <c r="B37" s="1751"/>
      <c r="C37" s="1752"/>
      <c r="D37" s="1753"/>
      <c r="E37" s="707"/>
      <c r="F37" s="707"/>
      <c r="G37" s="707"/>
      <c r="H37" s="707"/>
      <c r="I37" s="707"/>
      <c r="J37" s="707"/>
      <c r="K37" s="707"/>
      <c r="L37" s="707"/>
      <c r="M37" s="707"/>
      <c r="N37" s="707"/>
      <c r="P37" s="1754"/>
      <c r="Q37" s="1747"/>
    </row>
    <row r="38" spans="2:17" ht="18" customHeight="1">
      <c r="B38" s="1751"/>
      <c r="C38" s="1752"/>
      <c r="D38" s="1753"/>
      <c r="E38" s="707"/>
      <c r="F38" s="707"/>
      <c r="G38" s="707"/>
      <c r="H38" s="707"/>
      <c r="I38" s="707"/>
      <c r="J38" s="707"/>
      <c r="K38" s="707"/>
      <c r="L38" s="707"/>
      <c r="M38" s="707"/>
      <c r="N38" s="708"/>
      <c r="O38" s="701"/>
      <c r="P38" s="1754"/>
      <c r="Q38" s="1747"/>
    </row>
    <row r="39" spans="2:17" ht="18" customHeight="1">
      <c r="B39" s="1751"/>
      <c r="C39" s="1752"/>
      <c r="D39" s="1753"/>
      <c r="E39" s="707"/>
      <c r="F39" s="707"/>
      <c r="G39" s="707"/>
      <c r="H39" s="707"/>
      <c r="I39" s="707"/>
      <c r="J39" s="707"/>
      <c r="K39" s="707"/>
      <c r="L39" s="707"/>
      <c r="M39" s="707"/>
      <c r="N39" s="708"/>
      <c r="O39" s="701"/>
      <c r="P39" s="1754"/>
      <c r="Q39" s="1747"/>
    </row>
    <row r="40" spans="2:17" ht="18" customHeight="1">
      <c r="B40" s="1751"/>
      <c r="C40" s="1752"/>
      <c r="D40" s="1753"/>
      <c r="E40" s="707"/>
      <c r="F40" s="707"/>
      <c r="G40" s="707"/>
      <c r="H40" s="707"/>
      <c r="I40" s="707"/>
      <c r="J40" s="707"/>
      <c r="K40" s="707"/>
      <c r="L40" s="707"/>
      <c r="M40" s="707"/>
      <c r="N40" s="708"/>
      <c r="P40" s="1754"/>
      <c r="Q40" s="1747"/>
    </row>
    <row r="41" spans="2:17" ht="18" customHeight="1">
      <c r="B41" s="1751"/>
      <c r="C41" s="1752"/>
      <c r="D41" s="1753"/>
      <c r="E41" s="707"/>
      <c r="F41" s="707"/>
      <c r="G41" s="707"/>
      <c r="H41" s="707"/>
      <c r="I41" s="707"/>
      <c r="J41" s="707"/>
      <c r="K41" s="707"/>
      <c r="L41" s="707"/>
      <c r="M41" s="707"/>
      <c r="N41" s="708"/>
      <c r="O41" s="701"/>
      <c r="P41" s="1754"/>
      <c r="Q41" s="1747"/>
    </row>
    <row r="42" spans="2:17" ht="18" customHeight="1">
      <c r="B42" s="1751"/>
      <c r="C42" s="1752"/>
      <c r="D42" s="1753"/>
      <c r="E42" s="707"/>
      <c r="F42" s="707"/>
      <c r="G42" s="707"/>
      <c r="H42" s="707"/>
      <c r="I42" s="707"/>
      <c r="J42" s="707"/>
      <c r="K42" s="707"/>
      <c r="L42" s="707"/>
      <c r="M42" s="707"/>
      <c r="N42" s="708"/>
      <c r="O42" s="701"/>
      <c r="P42" s="1754"/>
      <c r="Q42" s="1747"/>
    </row>
    <row r="43" spans="2:17" ht="18" customHeight="1">
      <c r="B43" s="1751"/>
      <c r="C43" s="1752"/>
      <c r="D43" s="1753"/>
      <c r="E43" s="707"/>
      <c r="F43" s="707"/>
      <c r="G43" s="707"/>
      <c r="H43" s="707"/>
      <c r="I43" s="707"/>
      <c r="J43" s="707"/>
      <c r="K43" s="707"/>
      <c r="L43" s="707"/>
      <c r="M43" s="707"/>
      <c r="N43" s="708"/>
      <c r="P43" s="1754"/>
      <c r="Q43" s="1747"/>
    </row>
    <row r="44" spans="2:17" ht="18" customHeight="1">
      <c r="B44" s="1751"/>
      <c r="C44" s="1752"/>
      <c r="D44" s="1753"/>
      <c r="E44" s="707"/>
      <c r="F44" s="707"/>
      <c r="G44" s="707"/>
      <c r="H44" s="707"/>
      <c r="I44" s="707"/>
      <c r="J44" s="707"/>
      <c r="K44" s="707"/>
      <c r="L44" s="707"/>
      <c r="M44" s="707"/>
      <c r="N44" s="708"/>
      <c r="O44" s="701"/>
      <c r="P44" s="1754"/>
      <c r="Q44" s="1747"/>
    </row>
    <row r="45" spans="2:17" ht="18" customHeight="1">
      <c r="B45" s="1751"/>
      <c r="C45" s="1752"/>
      <c r="D45" s="1753"/>
      <c r="E45" s="707"/>
      <c r="F45" s="707"/>
      <c r="G45" s="707"/>
      <c r="H45" s="707"/>
      <c r="I45" s="707"/>
      <c r="J45" s="707"/>
      <c r="K45" s="707"/>
      <c r="L45" s="707"/>
      <c r="M45" s="707"/>
      <c r="N45" s="708"/>
      <c r="O45" s="701"/>
      <c r="P45" s="1754"/>
      <c r="Q45" s="1747"/>
    </row>
    <row r="46" spans="2:17" ht="18" customHeight="1">
      <c r="B46" s="1751"/>
      <c r="C46" s="1752"/>
      <c r="D46" s="1753"/>
      <c r="E46" s="707"/>
      <c r="F46" s="707"/>
      <c r="G46" s="707"/>
      <c r="H46" s="707"/>
      <c r="I46" s="707"/>
      <c r="J46" s="707"/>
      <c r="K46" s="707"/>
      <c r="L46" s="707"/>
      <c r="M46" s="707"/>
      <c r="N46" s="708"/>
      <c r="P46" s="1754"/>
      <c r="Q46" s="1747"/>
    </row>
    <row r="47" spans="2:17" ht="18" customHeight="1">
      <c r="B47" s="1751"/>
      <c r="C47" s="1752"/>
      <c r="D47" s="1753"/>
      <c r="E47" s="707"/>
      <c r="F47" s="707"/>
      <c r="G47" s="707"/>
      <c r="H47" s="707"/>
      <c r="I47" s="707"/>
      <c r="J47" s="707"/>
      <c r="K47" s="707"/>
      <c r="L47" s="707"/>
      <c r="M47" s="707"/>
      <c r="N47" s="708"/>
      <c r="O47" s="701"/>
      <c r="P47" s="1754"/>
      <c r="Q47" s="1747"/>
    </row>
    <row r="48" spans="2:17" ht="18" customHeight="1">
      <c r="B48" s="1751"/>
      <c r="C48" s="1752"/>
      <c r="D48" s="1753"/>
      <c r="E48" s="707"/>
      <c r="F48" s="707"/>
      <c r="G48" s="707"/>
      <c r="H48" s="707"/>
      <c r="I48" s="707"/>
      <c r="J48" s="707"/>
      <c r="K48" s="707"/>
      <c r="L48" s="707"/>
      <c r="M48" s="707"/>
      <c r="N48" s="708"/>
      <c r="O48" s="701"/>
      <c r="P48" s="1754"/>
      <c r="Q48" s="1747"/>
    </row>
    <row r="49" spans="2:17" ht="18" customHeight="1">
      <c r="B49" s="1751"/>
      <c r="C49" s="1752"/>
      <c r="D49" s="1753"/>
      <c r="E49" s="707"/>
      <c r="F49" s="707"/>
      <c r="G49" s="707"/>
      <c r="H49" s="707"/>
      <c r="I49" s="707"/>
      <c r="J49" s="707"/>
      <c r="K49" s="707"/>
      <c r="L49" s="707"/>
      <c r="M49" s="707"/>
      <c r="N49" s="708"/>
      <c r="P49" s="1754"/>
      <c r="Q49" s="1747"/>
    </row>
    <row r="50" spans="2:17" ht="18" customHeight="1">
      <c r="B50" s="1751"/>
      <c r="C50" s="1752"/>
      <c r="D50" s="1753"/>
      <c r="E50" s="707"/>
      <c r="F50" s="707"/>
      <c r="G50" s="707"/>
      <c r="H50" s="707"/>
      <c r="I50" s="707"/>
      <c r="J50" s="707"/>
      <c r="K50" s="707"/>
      <c r="L50" s="707"/>
      <c r="M50" s="707"/>
      <c r="N50" s="708"/>
      <c r="O50" s="701"/>
      <c r="P50" s="1754"/>
      <c r="Q50" s="1747"/>
    </row>
    <row r="51" spans="2:17" ht="18" customHeight="1">
      <c r="B51" s="1751"/>
      <c r="C51" s="1752"/>
      <c r="D51" s="1753"/>
      <c r="E51" s="707"/>
      <c r="F51" s="707"/>
      <c r="G51" s="707"/>
      <c r="H51" s="707"/>
      <c r="I51" s="707"/>
      <c r="J51" s="707"/>
      <c r="K51" s="707"/>
      <c r="L51" s="707"/>
      <c r="M51" s="707"/>
      <c r="N51" s="708"/>
      <c r="O51" s="701"/>
      <c r="P51" s="1754"/>
      <c r="Q51" s="1747"/>
    </row>
    <row r="52" spans="2:17" ht="18" customHeight="1">
      <c r="B52" s="1751"/>
      <c r="C52" s="1752"/>
      <c r="D52" s="1753"/>
      <c r="E52" s="707"/>
      <c r="F52" s="707"/>
      <c r="G52" s="707"/>
      <c r="H52" s="707"/>
      <c r="I52" s="707"/>
      <c r="J52" s="707"/>
      <c r="K52" s="707"/>
      <c r="L52" s="707"/>
      <c r="M52" s="707"/>
      <c r="N52" s="708"/>
      <c r="P52" s="1754"/>
      <c r="Q52" s="1747"/>
    </row>
    <row r="53" spans="2:17" ht="18" customHeight="1">
      <c r="B53" s="1751"/>
      <c r="C53" s="1752"/>
      <c r="D53" s="1753"/>
      <c r="E53" s="707"/>
      <c r="F53" s="707"/>
      <c r="G53" s="707"/>
      <c r="H53" s="707"/>
      <c r="I53" s="707"/>
      <c r="J53" s="707"/>
      <c r="K53" s="707"/>
      <c r="L53" s="707"/>
      <c r="M53" s="707"/>
      <c r="N53" s="708"/>
      <c r="O53" s="701"/>
      <c r="P53" s="1754"/>
      <c r="Q53" s="1747"/>
    </row>
    <row r="54" spans="2:17" ht="18" customHeight="1">
      <c r="B54" s="1751"/>
      <c r="C54" s="1752"/>
      <c r="D54" s="1753"/>
      <c r="E54" s="707"/>
      <c r="F54" s="707"/>
      <c r="G54" s="707"/>
      <c r="H54" s="707"/>
      <c r="I54" s="707"/>
      <c r="J54" s="707"/>
      <c r="K54" s="707"/>
      <c r="L54" s="707"/>
      <c r="M54" s="707"/>
      <c r="N54" s="708"/>
      <c r="O54" s="701"/>
      <c r="P54" s="1754"/>
      <c r="Q54" s="1747"/>
    </row>
    <row r="55" spans="2:17" ht="18" customHeight="1">
      <c r="B55" s="1751"/>
      <c r="C55" s="1752"/>
      <c r="D55" s="1753"/>
      <c r="E55" s="707"/>
      <c r="F55" s="707"/>
      <c r="G55" s="707"/>
      <c r="H55" s="707"/>
      <c r="I55" s="707"/>
      <c r="J55" s="707"/>
      <c r="K55" s="707"/>
      <c r="L55" s="707"/>
      <c r="M55" s="707"/>
      <c r="N55" s="708"/>
      <c r="P55" s="1754"/>
      <c r="Q55" s="1747"/>
    </row>
    <row r="56" spans="2:17" ht="18" customHeight="1">
      <c r="B56" s="1751"/>
      <c r="C56" s="1752"/>
      <c r="D56" s="1753"/>
      <c r="E56" s="707"/>
      <c r="F56" s="707"/>
      <c r="G56" s="707"/>
      <c r="H56" s="707"/>
      <c r="I56" s="707"/>
      <c r="J56" s="707"/>
      <c r="K56" s="707"/>
      <c r="L56" s="707"/>
      <c r="M56" s="707"/>
      <c r="N56" s="708"/>
      <c r="O56" s="701"/>
      <c r="P56" s="1754"/>
      <c r="Q56" s="1747"/>
    </row>
    <row r="57" spans="2:17" ht="18" customHeight="1">
      <c r="B57" s="1751"/>
      <c r="C57" s="1752"/>
      <c r="D57" s="1753"/>
      <c r="E57" s="707"/>
      <c r="F57" s="707"/>
      <c r="G57" s="707"/>
      <c r="H57" s="707"/>
      <c r="I57" s="707"/>
      <c r="J57" s="707"/>
      <c r="K57" s="707"/>
      <c r="L57" s="707"/>
      <c r="M57" s="707"/>
      <c r="N57" s="708"/>
      <c r="O57" s="701"/>
      <c r="P57" s="1754"/>
      <c r="Q57" s="1747"/>
    </row>
    <row r="58" spans="2:17" ht="18" customHeight="1">
      <c r="B58" s="1751"/>
      <c r="C58" s="1752"/>
      <c r="D58" s="1753"/>
      <c r="E58" s="707"/>
      <c r="F58" s="707"/>
      <c r="G58" s="707"/>
      <c r="H58" s="707"/>
      <c r="I58" s="707"/>
      <c r="J58" s="707"/>
      <c r="K58" s="707"/>
      <c r="L58" s="707"/>
      <c r="M58" s="707"/>
      <c r="N58" s="708"/>
      <c r="P58" s="1754"/>
      <c r="Q58" s="1747"/>
    </row>
    <row r="59" spans="2:17" ht="18" customHeight="1">
      <c r="B59" s="1751"/>
      <c r="C59" s="1752"/>
      <c r="D59" s="1753"/>
      <c r="E59" s="707"/>
      <c r="F59" s="707"/>
      <c r="G59" s="707"/>
      <c r="H59" s="707"/>
      <c r="I59" s="707"/>
      <c r="J59" s="707"/>
      <c r="K59" s="707"/>
      <c r="L59" s="707"/>
      <c r="M59" s="707"/>
      <c r="N59" s="708"/>
      <c r="O59" s="701"/>
      <c r="P59" s="1754"/>
      <c r="Q59" s="1747"/>
    </row>
    <row r="60" spans="2:17" ht="18" customHeight="1">
      <c r="B60" s="1751"/>
      <c r="C60" s="1752"/>
      <c r="D60" s="1753"/>
      <c r="E60" s="707"/>
      <c r="F60" s="707"/>
      <c r="G60" s="707"/>
      <c r="H60" s="707"/>
      <c r="I60" s="707"/>
      <c r="J60" s="707"/>
      <c r="K60" s="707"/>
      <c r="L60" s="707"/>
      <c r="M60" s="707"/>
      <c r="N60" s="708"/>
      <c r="O60" s="701"/>
      <c r="P60" s="1754"/>
      <c r="Q60" s="1747"/>
    </row>
    <row r="61" spans="2:17" ht="18" customHeight="1">
      <c r="B61" s="1751"/>
      <c r="C61" s="1752"/>
      <c r="D61" s="1753"/>
      <c r="E61" s="707"/>
      <c r="F61" s="707"/>
      <c r="G61" s="707"/>
      <c r="H61" s="707"/>
      <c r="I61" s="707"/>
      <c r="J61" s="707"/>
      <c r="K61" s="707"/>
      <c r="L61" s="707"/>
      <c r="M61" s="707"/>
      <c r="N61" s="708"/>
      <c r="P61" s="1754"/>
      <c r="Q61" s="1747"/>
    </row>
    <row r="62" spans="2:17" ht="18" customHeight="1">
      <c r="B62" s="1751"/>
      <c r="C62" s="1752"/>
      <c r="D62" s="1753"/>
      <c r="E62" s="707"/>
      <c r="F62" s="707"/>
      <c r="G62" s="707"/>
      <c r="H62" s="707"/>
      <c r="I62" s="707"/>
      <c r="J62" s="707"/>
      <c r="K62" s="707"/>
      <c r="L62" s="707"/>
      <c r="M62" s="707"/>
      <c r="N62" s="708"/>
      <c r="O62" s="701"/>
      <c r="P62" s="1754"/>
      <c r="Q62" s="1747"/>
    </row>
    <row r="63" spans="2:17" ht="18" customHeight="1">
      <c r="B63" s="1751"/>
      <c r="C63" s="1752"/>
      <c r="D63" s="1753"/>
      <c r="E63" s="707"/>
      <c r="F63" s="707"/>
      <c r="G63" s="707"/>
      <c r="H63" s="707"/>
      <c r="I63" s="707"/>
      <c r="J63" s="707"/>
      <c r="K63" s="707"/>
      <c r="L63" s="707"/>
      <c r="M63" s="707"/>
      <c r="N63" s="708"/>
      <c r="O63" s="701"/>
      <c r="P63" s="1754"/>
      <c r="Q63" s="1747"/>
    </row>
    <row r="64" spans="2:17" ht="18" customHeight="1">
      <c r="B64" s="1751"/>
      <c r="C64" s="1752"/>
      <c r="D64" s="1753"/>
      <c r="E64" s="707"/>
      <c r="F64" s="707"/>
      <c r="G64" s="707"/>
      <c r="H64" s="707"/>
      <c r="I64" s="707"/>
      <c r="J64" s="707"/>
      <c r="K64" s="707"/>
      <c r="L64" s="707"/>
      <c r="M64" s="707"/>
      <c r="N64" s="708"/>
      <c r="P64" s="1754"/>
      <c r="Q64" s="1747"/>
    </row>
    <row r="65" spans="2:17" ht="18" customHeight="1">
      <c r="B65" s="1751"/>
      <c r="C65" s="1752"/>
      <c r="D65" s="1753"/>
      <c r="E65" s="707"/>
      <c r="F65" s="707"/>
      <c r="G65" s="707"/>
      <c r="H65" s="707"/>
      <c r="I65" s="707"/>
      <c r="J65" s="707"/>
      <c r="K65" s="707"/>
      <c r="L65" s="707"/>
      <c r="M65" s="707"/>
      <c r="N65" s="708"/>
      <c r="O65" s="701"/>
      <c r="P65" s="1754"/>
      <c r="Q65" s="1747"/>
    </row>
    <row r="66" spans="2:17" ht="18" customHeight="1">
      <c r="B66" s="1751"/>
      <c r="C66" s="1752"/>
      <c r="D66" s="1753"/>
      <c r="E66" s="707"/>
      <c r="F66" s="707"/>
      <c r="G66" s="707"/>
      <c r="H66" s="707"/>
      <c r="I66" s="707"/>
      <c r="J66" s="707"/>
      <c r="K66" s="707"/>
      <c r="L66" s="707"/>
      <c r="M66" s="707"/>
      <c r="N66" s="708"/>
      <c r="O66" s="701"/>
      <c r="P66" s="1754"/>
      <c r="Q66" s="1747"/>
    </row>
    <row r="67" spans="2:17" ht="18" customHeight="1">
      <c r="B67" s="1751"/>
      <c r="C67" s="1752"/>
      <c r="D67" s="1753"/>
      <c r="E67" s="707"/>
      <c r="F67" s="707"/>
      <c r="G67" s="707"/>
      <c r="H67" s="707"/>
      <c r="I67" s="707"/>
      <c r="J67" s="707"/>
      <c r="K67" s="707"/>
      <c r="L67" s="707"/>
      <c r="M67" s="707"/>
      <c r="N67" s="708"/>
      <c r="P67" s="1754"/>
      <c r="Q67" s="1747"/>
    </row>
    <row r="68" spans="2:17" ht="18" customHeight="1">
      <c r="B68" s="1751"/>
      <c r="C68" s="1752"/>
      <c r="D68" s="1753"/>
      <c r="E68" s="707"/>
      <c r="F68" s="707"/>
      <c r="G68" s="707"/>
      <c r="H68" s="707"/>
      <c r="I68" s="707"/>
      <c r="J68" s="707"/>
      <c r="K68" s="707"/>
      <c r="L68" s="707"/>
      <c r="M68" s="707"/>
      <c r="N68" s="708"/>
      <c r="O68" s="701"/>
      <c r="P68" s="1754"/>
      <c r="Q68" s="1747"/>
    </row>
  </sheetData>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type="list" allowBlank="1" showInputMessage="1" showErrorMessage="1" prompt="年度を選択" sqref="G3">
      <formula1>"令和7年度,令和8年度,令和9年度,令和10年度,令和11年度"</formula1>
    </dataValidation>
    <dataValidation imeMode="off" allowBlank="1" showInputMessage="1" showErrorMessage="1" sqref="C29:D29 C25 C26:D27 C24:D24 B24:B29 H25:M29 E25:F29 B11:D23"/>
    <dataValidation imeMode="disabled" allowBlank="1" showInputMessage="1" showErrorMessage="1" sqref="E28:F28 E10:M24"/>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T86"/>
  <sheetViews>
    <sheetView view="pageBreakPreview" zoomScale="70" zoomScaleNormal="25" zoomScaleSheetLayoutView="70" workbookViewId="0">
      <selection activeCell="A2" sqref="A2"/>
    </sheetView>
  </sheetViews>
  <sheetFormatPr defaultColWidth="9" defaultRowHeight="16.5"/>
  <cols>
    <col min="1" max="1" width="7.375" style="713" bestFit="1" customWidth="1"/>
    <col min="2" max="2" width="9.375" style="713" customWidth="1"/>
    <col min="3" max="3" width="9.25" style="713" customWidth="1"/>
    <col min="4" max="5" width="24.625" style="713" customWidth="1"/>
    <col min="6" max="6" width="9.375" style="713" customWidth="1"/>
    <col min="7" max="7" width="8.125" style="713" customWidth="1"/>
    <col min="8" max="8" width="29" style="713" customWidth="1"/>
    <col min="9" max="9" width="10.875" style="713" customWidth="1"/>
    <col min="10" max="10" width="19.125" style="713" customWidth="1"/>
    <col min="11" max="11" width="5.875" style="761" bestFit="1" customWidth="1"/>
    <col min="12" max="12" width="11.375" style="761" customWidth="1"/>
    <col min="13" max="13" width="17.875" style="761" customWidth="1"/>
    <col min="14" max="14" width="21.875" style="761" customWidth="1"/>
    <col min="15" max="15" width="48.25" style="761" customWidth="1"/>
    <col min="16" max="16" width="9" style="713"/>
    <col min="17" max="17" width="36" style="713" customWidth="1"/>
    <col min="18" max="18" width="33" style="713" customWidth="1"/>
    <col min="19" max="19" width="31.75" style="713" customWidth="1"/>
    <col min="20" max="20" width="64.25" style="713" customWidth="1"/>
    <col min="21" max="16384" width="9" style="713"/>
  </cols>
  <sheetData>
    <row r="1" spans="1:20" ht="42.75" customHeight="1">
      <c r="A1" s="1758"/>
      <c r="B1" s="1758"/>
      <c r="C1" s="1758"/>
      <c r="D1" s="1758"/>
      <c r="E1" s="1758"/>
      <c r="F1" s="1758"/>
      <c r="G1" s="1758"/>
      <c r="H1" s="1758"/>
      <c r="I1" s="1758"/>
      <c r="J1" s="1758"/>
      <c r="K1" s="1759" t="s">
        <v>1886</v>
      </c>
      <c r="L1" s="1760"/>
      <c r="M1" s="1760"/>
      <c r="N1" s="1760"/>
      <c r="O1" s="1761"/>
      <c r="P1" s="1762" t="s">
        <v>1887</v>
      </c>
      <c r="Q1" s="1764" t="s">
        <v>1888</v>
      </c>
      <c r="R1" s="710" t="s">
        <v>1889</v>
      </c>
      <c r="S1" s="711"/>
      <c r="T1" s="712"/>
    </row>
    <row r="2" spans="1:20" ht="33">
      <c r="A2" s="714" t="s">
        <v>1890</v>
      </c>
      <c r="B2" s="715" t="s">
        <v>1891</v>
      </c>
      <c r="C2" s="714" t="s">
        <v>1892</v>
      </c>
      <c r="D2" s="715" t="s">
        <v>1893</v>
      </c>
      <c r="E2" s="716" t="s">
        <v>1894</v>
      </c>
      <c r="F2" s="716" t="s">
        <v>1895</v>
      </c>
      <c r="G2" s="714" t="s">
        <v>1896</v>
      </c>
      <c r="H2" s="714" t="s">
        <v>1897</v>
      </c>
      <c r="I2" s="717" t="s">
        <v>1898</v>
      </c>
      <c r="J2" s="715" t="s">
        <v>1899</v>
      </c>
      <c r="K2" s="718" t="s">
        <v>1900</v>
      </c>
      <c r="L2" s="719" t="s">
        <v>1878</v>
      </c>
      <c r="M2" s="1765" t="s">
        <v>1901</v>
      </c>
      <c r="N2" s="1766"/>
      <c r="O2" s="719" t="s">
        <v>1880</v>
      </c>
      <c r="P2" s="1763"/>
      <c r="Q2" s="1764"/>
      <c r="R2" s="1755" t="s">
        <v>1902</v>
      </c>
      <c r="S2" s="1756"/>
      <c r="T2" s="1757"/>
    </row>
    <row r="3" spans="1:20" ht="18" customHeight="1">
      <c r="A3" s="720" t="s">
        <v>1903</v>
      </c>
      <c r="B3" s="721" t="s">
        <v>306</v>
      </c>
      <c r="C3" s="722" t="s">
        <v>306</v>
      </c>
      <c r="D3" s="721" t="s">
        <v>1904</v>
      </c>
      <c r="E3" s="720" t="s">
        <v>1905</v>
      </c>
      <c r="F3" s="722" t="s">
        <v>1906</v>
      </c>
      <c r="G3" s="720" t="s">
        <v>1907</v>
      </c>
      <c r="H3" s="720" t="s">
        <v>1908</v>
      </c>
      <c r="I3" s="723">
        <v>1</v>
      </c>
      <c r="J3" s="721" t="s">
        <v>1909</v>
      </c>
      <c r="K3" s="724">
        <v>200</v>
      </c>
      <c r="L3" s="725" t="s">
        <v>1910</v>
      </c>
      <c r="M3" s="725" t="s">
        <v>1911</v>
      </c>
      <c r="N3" s="725" t="s">
        <v>1911</v>
      </c>
      <c r="O3" s="725" t="s">
        <v>1912</v>
      </c>
      <c r="P3" s="726"/>
      <c r="R3" s="1773" t="s">
        <v>1913</v>
      </c>
      <c r="S3" s="1774"/>
      <c r="T3" s="1775"/>
    </row>
    <row r="4" spans="1:20" ht="18" customHeight="1">
      <c r="A4" s="727" t="s">
        <v>1914</v>
      </c>
      <c r="B4" s="728"/>
      <c r="C4" s="729" t="s">
        <v>1915</v>
      </c>
      <c r="D4" s="730" t="s">
        <v>1916</v>
      </c>
      <c r="E4" s="729" t="s">
        <v>1917</v>
      </c>
      <c r="F4" s="729" t="s">
        <v>1918</v>
      </c>
      <c r="G4" s="731" t="s">
        <v>1919</v>
      </c>
      <c r="H4" s="729" t="s">
        <v>1920</v>
      </c>
      <c r="I4" s="732">
        <v>2</v>
      </c>
      <c r="J4" s="730" t="s">
        <v>1921</v>
      </c>
      <c r="K4" s="724">
        <v>300</v>
      </c>
      <c r="L4" s="725" t="s">
        <v>1910</v>
      </c>
      <c r="M4" s="725" t="s">
        <v>1922</v>
      </c>
      <c r="N4" s="725" t="s">
        <v>1922</v>
      </c>
      <c r="O4" s="725" t="s">
        <v>1923</v>
      </c>
      <c r="P4" s="726"/>
      <c r="R4" s="1755" t="s">
        <v>1924</v>
      </c>
      <c r="S4" s="1756"/>
      <c r="T4" s="1757"/>
    </row>
    <row r="5" spans="1:20" ht="18" customHeight="1">
      <c r="C5" s="727" t="s">
        <v>1925</v>
      </c>
      <c r="D5" s="730" t="s">
        <v>1926</v>
      </c>
      <c r="E5" s="729" t="s">
        <v>1927</v>
      </c>
      <c r="F5" s="733" t="s">
        <v>1928</v>
      </c>
      <c r="G5" s="734"/>
      <c r="H5" s="729" t="s">
        <v>1929</v>
      </c>
      <c r="I5" s="734"/>
      <c r="J5" s="730" t="s">
        <v>1930</v>
      </c>
      <c r="K5" s="726"/>
      <c r="L5" s="726"/>
      <c r="M5" s="726"/>
      <c r="N5" s="726"/>
      <c r="O5" s="726"/>
      <c r="P5" s="726"/>
      <c r="R5" s="1755" t="s">
        <v>1931</v>
      </c>
      <c r="S5" s="1756"/>
      <c r="T5" s="1757"/>
    </row>
    <row r="6" spans="1:20" ht="18" customHeight="1">
      <c r="D6" s="730" t="s">
        <v>1932</v>
      </c>
      <c r="E6" s="729" t="s">
        <v>1933</v>
      </c>
      <c r="F6" s="735"/>
      <c r="G6" s="736"/>
      <c r="H6" s="729" t="s">
        <v>1934</v>
      </c>
      <c r="J6" s="730" t="s">
        <v>1935</v>
      </c>
      <c r="K6" s="724">
        <v>1</v>
      </c>
      <c r="L6" s="725" t="s">
        <v>1936</v>
      </c>
      <c r="M6" s="725" t="s">
        <v>1937</v>
      </c>
      <c r="N6" s="725" t="s">
        <v>1938</v>
      </c>
      <c r="O6" s="725" t="s">
        <v>1939</v>
      </c>
      <c r="P6" s="737" t="e">
        <f>COUNTIF('[8]活動記録（多面的機能支払交付金の様式）'!$H$9:$M$28,[8]【選択肢】!K6)</f>
        <v>#VALUE!</v>
      </c>
      <c r="R6" s="738" t="s">
        <v>1940</v>
      </c>
      <c r="S6" s="739"/>
      <c r="T6" s="740"/>
    </row>
    <row r="7" spans="1:20" ht="18" customHeight="1">
      <c r="D7" s="741" t="s">
        <v>1941</v>
      </c>
      <c r="E7" s="729" t="s">
        <v>1942</v>
      </c>
      <c r="F7" s="742"/>
      <c r="G7" s="736"/>
      <c r="H7" s="729" t="s">
        <v>1943</v>
      </c>
      <c r="J7" s="730" t="s">
        <v>1944</v>
      </c>
      <c r="K7" s="724">
        <v>2</v>
      </c>
      <c r="L7" s="725" t="s">
        <v>1936</v>
      </c>
      <c r="M7" s="725" t="s">
        <v>1937</v>
      </c>
      <c r="N7" s="725" t="s">
        <v>1945</v>
      </c>
      <c r="O7" s="725" t="s">
        <v>1946</v>
      </c>
      <c r="P7" s="737" t="e">
        <f>COUNTIF('[8]活動記録（多面的機能支払交付金の様式）'!$H$9:$M$28,[8]【選択肢】!K7)</f>
        <v>#VALUE!</v>
      </c>
      <c r="R7" s="1755" t="s">
        <v>1947</v>
      </c>
      <c r="S7" s="1756"/>
      <c r="T7" s="1757"/>
    </row>
    <row r="8" spans="1:20" ht="18" customHeight="1">
      <c r="E8" s="729" t="s">
        <v>1948</v>
      </c>
      <c r="F8" s="742"/>
      <c r="G8" s="736"/>
      <c r="H8" s="729" t="s">
        <v>1949</v>
      </c>
      <c r="J8" s="730" t="s">
        <v>1950</v>
      </c>
      <c r="K8" s="724">
        <v>3</v>
      </c>
      <c r="L8" s="725" t="s">
        <v>1936</v>
      </c>
      <c r="M8" s="725" t="s">
        <v>1951</v>
      </c>
      <c r="N8" s="725" t="s">
        <v>1951</v>
      </c>
      <c r="O8" s="725" t="s">
        <v>1952</v>
      </c>
      <c r="P8" s="737" t="e">
        <f>COUNTIF('[8]活動記録（多面的機能支払交付金の様式）'!$H$9:$M$28,[8]【選択肢】!K8)</f>
        <v>#VALUE!</v>
      </c>
      <c r="R8" s="1755"/>
      <c r="S8" s="1756"/>
      <c r="T8" s="1757"/>
    </row>
    <row r="9" spans="1:20" ht="18" customHeight="1">
      <c r="E9" s="729" t="s">
        <v>1953</v>
      </c>
      <c r="F9" s="742"/>
      <c r="G9" s="736"/>
      <c r="H9" s="729" t="s">
        <v>1954</v>
      </c>
      <c r="J9" s="730" t="s">
        <v>1955</v>
      </c>
      <c r="K9" s="724">
        <v>4</v>
      </c>
      <c r="L9" s="725" t="s">
        <v>1936</v>
      </c>
      <c r="M9" s="725" t="s">
        <v>1956</v>
      </c>
      <c r="N9" s="725" t="s">
        <v>1957</v>
      </c>
      <c r="O9" s="725" t="s">
        <v>1958</v>
      </c>
      <c r="P9" s="737" t="e">
        <f>COUNTIF('[8]活動記録（多面的機能支払交付金の様式）'!$H$9:$M$28,[8]【選択肢】!K9)</f>
        <v>#VALUE!</v>
      </c>
      <c r="R9" s="1773" t="s">
        <v>1959</v>
      </c>
      <c r="S9" s="1774"/>
      <c r="T9" s="1775"/>
    </row>
    <row r="10" spans="1:20" ht="18" customHeight="1">
      <c r="E10" s="729" t="s">
        <v>1960</v>
      </c>
      <c r="F10" s="742"/>
      <c r="G10" s="736"/>
      <c r="H10" s="729" t="s">
        <v>1961</v>
      </c>
      <c r="J10" s="741" t="s">
        <v>1962</v>
      </c>
      <c r="K10" s="724">
        <v>5</v>
      </c>
      <c r="L10" s="725" t="s">
        <v>1936</v>
      </c>
      <c r="M10" s="725" t="s">
        <v>1956</v>
      </c>
      <c r="N10" s="725" t="s">
        <v>1957</v>
      </c>
      <c r="O10" s="725" t="s">
        <v>1963</v>
      </c>
      <c r="P10" s="737" t="e">
        <f>COUNTIF('[8]活動記録（多面的機能支払交付金の様式）'!$H$9:$M$28,[8]【選択肢】!K10)</f>
        <v>#VALUE!</v>
      </c>
      <c r="R10" s="1767" t="s">
        <v>1964</v>
      </c>
      <c r="S10" s="1768"/>
      <c r="T10" s="1769"/>
    </row>
    <row r="11" spans="1:20" ht="18" customHeight="1">
      <c r="E11" s="727" t="s">
        <v>1965</v>
      </c>
      <c r="F11" s="742"/>
      <c r="G11" s="736"/>
      <c r="H11" s="729" t="s">
        <v>1966</v>
      </c>
      <c r="K11" s="724">
        <v>6</v>
      </c>
      <c r="L11" s="725" t="s">
        <v>1936</v>
      </c>
      <c r="M11" s="725" t="s">
        <v>1956</v>
      </c>
      <c r="N11" s="725" t="s">
        <v>1957</v>
      </c>
      <c r="O11" s="725" t="s">
        <v>1967</v>
      </c>
      <c r="P11" s="737" t="e">
        <f>COUNTIF('[8]活動記録（多面的機能支払交付金の様式）'!$H$9:$M$28,[8]【選択肢】!K11)</f>
        <v>#VALUE!</v>
      </c>
      <c r="R11" s="743" t="s">
        <v>1968</v>
      </c>
      <c r="S11" s="744"/>
      <c r="T11" s="745"/>
    </row>
    <row r="12" spans="1:20" ht="18" customHeight="1">
      <c r="H12" s="729" t="s">
        <v>1969</v>
      </c>
      <c r="K12" s="724">
        <v>7</v>
      </c>
      <c r="L12" s="725" t="s">
        <v>1936</v>
      </c>
      <c r="M12" s="725" t="s">
        <v>1956</v>
      </c>
      <c r="N12" s="725" t="s">
        <v>271</v>
      </c>
      <c r="O12" s="725" t="s">
        <v>1970</v>
      </c>
      <c r="P12" s="737" t="e">
        <f>COUNTIF('[8]活動記録（多面的機能支払交付金の様式）'!$H$9:$M$28,[8]【選択肢】!K12)</f>
        <v>#VALUE!</v>
      </c>
      <c r="R12" s="746" t="s">
        <v>1971</v>
      </c>
      <c r="S12" s="747"/>
      <c r="T12" s="748"/>
    </row>
    <row r="13" spans="1:20" ht="18" customHeight="1">
      <c r="H13" s="729" t="s">
        <v>1972</v>
      </c>
      <c r="K13" s="724">
        <v>8</v>
      </c>
      <c r="L13" s="725" t="s">
        <v>1936</v>
      </c>
      <c r="M13" s="725" t="s">
        <v>1956</v>
      </c>
      <c r="N13" s="725" t="s">
        <v>271</v>
      </c>
      <c r="O13" s="725" t="s">
        <v>1973</v>
      </c>
      <c r="P13" s="737" t="e">
        <f>COUNTIF('[8]活動記録（多面的機能支払交付金の様式）'!$H$9:$M$28,[8]【選択肢】!K13)</f>
        <v>#VALUE!</v>
      </c>
      <c r="R13" s="746" t="s">
        <v>1974</v>
      </c>
      <c r="S13" s="747"/>
      <c r="T13" s="748"/>
    </row>
    <row r="14" spans="1:20" ht="18" customHeight="1">
      <c r="H14" s="729" t="s">
        <v>1975</v>
      </c>
      <c r="K14" s="724">
        <v>9</v>
      </c>
      <c r="L14" s="725" t="s">
        <v>1936</v>
      </c>
      <c r="M14" s="725" t="s">
        <v>1956</v>
      </c>
      <c r="N14" s="725" t="s">
        <v>271</v>
      </c>
      <c r="O14" s="725" t="s">
        <v>1976</v>
      </c>
      <c r="P14" s="737" t="e">
        <f>COUNTIF('[8]活動記録（多面的機能支払交付金の様式）'!$H$9:$M$28,[8]【選択肢】!K14)</f>
        <v>#VALUE!</v>
      </c>
      <c r="R14" s="746" t="s">
        <v>1977</v>
      </c>
      <c r="S14" s="747"/>
      <c r="T14" s="748"/>
    </row>
    <row r="15" spans="1:20" ht="18" customHeight="1">
      <c r="H15" s="733" t="s">
        <v>1978</v>
      </c>
      <c r="K15" s="724">
        <v>10</v>
      </c>
      <c r="L15" s="725" t="s">
        <v>1936</v>
      </c>
      <c r="M15" s="725" t="s">
        <v>1956</v>
      </c>
      <c r="N15" s="725" t="s">
        <v>272</v>
      </c>
      <c r="O15" s="725" t="s">
        <v>1979</v>
      </c>
      <c r="P15" s="737" t="e">
        <f>COUNTIF('[8]活動記録（多面的機能支払交付金の様式）'!$H$9:$M$28,[8]【選択肢】!K15)</f>
        <v>#VALUE!</v>
      </c>
      <c r="R15" s="746" t="s">
        <v>1980</v>
      </c>
      <c r="S15" s="747"/>
      <c r="T15" s="748"/>
    </row>
    <row r="16" spans="1:20" ht="18" customHeight="1">
      <c r="K16" s="724">
        <v>11</v>
      </c>
      <c r="L16" s="725" t="s">
        <v>1936</v>
      </c>
      <c r="M16" s="725" t="s">
        <v>1956</v>
      </c>
      <c r="N16" s="725" t="s">
        <v>272</v>
      </c>
      <c r="O16" s="725" t="s">
        <v>1981</v>
      </c>
      <c r="P16" s="737" t="e">
        <f>COUNTIF('[8]活動記録（多面的機能支払交付金の様式）'!$H$9:$M$28,[8]【選択肢】!K16)</f>
        <v>#VALUE!</v>
      </c>
      <c r="R16" s="749"/>
      <c r="S16" s="750"/>
      <c r="T16" s="751"/>
    </row>
    <row r="17" spans="11:20" ht="18" customHeight="1">
      <c r="K17" s="724">
        <v>12</v>
      </c>
      <c r="L17" s="725" t="s">
        <v>1936</v>
      </c>
      <c r="M17" s="725" t="s">
        <v>1956</v>
      </c>
      <c r="N17" s="725" t="s">
        <v>272</v>
      </c>
      <c r="O17" s="725" t="s">
        <v>1982</v>
      </c>
      <c r="P17" s="737" t="e">
        <f>COUNTIF('[8]活動記録（多面的機能支払交付金の様式）'!$H$9:$M$28,[8]【選択肢】!K17)</f>
        <v>#VALUE!</v>
      </c>
      <c r="R17" s="749" t="s">
        <v>1983</v>
      </c>
      <c r="S17" s="739"/>
      <c r="T17" s="740"/>
    </row>
    <row r="18" spans="11:20" ht="18" customHeight="1">
      <c r="K18" s="724">
        <v>13</v>
      </c>
      <c r="L18" s="725" t="s">
        <v>1936</v>
      </c>
      <c r="M18" s="725" t="s">
        <v>1956</v>
      </c>
      <c r="N18" s="725" t="s">
        <v>273</v>
      </c>
      <c r="O18" s="725" t="s">
        <v>1984</v>
      </c>
      <c r="P18" s="737" t="e">
        <f>COUNTIF('[8]活動記録（多面的機能支払交付金の様式）'!$H$9:$M$28,[8]【選択肢】!K18)</f>
        <v>#VALUE!</v>
      </c>
      <c r="R18" s="743" t="s">
        <v>1985</v>
      </c>
      <c r="S18" s="750"/>
      <c r="T18" s="751"/>
    </row>
    <row r="19" spans="11:20" ht="18" customHeight="1">
      <c r="K19" s="724">
        <v>14</v>
      </c>
      <c r="L19" s="725" t="s">
        <v>1936</v>
      </c>
      <c r="M19" s="725" t="s">
        <v>1956</v>
      </c>
      <c r="N19" s="725" t="s">
        <v>273</v>
      </c>
      <c r="O19" s="725" t="s">
        <v>1986</v>
      </c>
      <c r="P19" s="737" t="e">
        <f>COUNTIF('[8]活動記録（多面的機能支払交付金の様式）'!$H$9:$M$28,[8]【選択肢】!K19)</f>
        <v>#VALUE!</v>
      </c>
      <c r="R19" s="746" t="s">
        <v>1987</v>
      </c>
      <c r="S19" s="750"/>
      <c r="T19" s="751"/>
    </row>
    <row r="20" spans="11:20" ht="18" customHeight="1">
      <c r="K20" s="724">
        <v>15</v>
      </c>
      <c r="L20" s="725" t="s">
        <v>1936</v>
      </c>
      <c r="M20" s="725" t="s">
        <v>1956</v>
      </c>
      <c r="N20" s="725" t="s">
        <v>273</v>
      </c>
      <c r="O20" s="725" t="s">
        <v>1988</v>
      </c>
      <c r="P20" s="737" t="e">
        <f>COUNTIF('[8]活動記録（多面的機能支払交付金の様式）'!$H$9:$M$28,[8]【選択肢】!K20)</f>
        <v>#VALUE!</v>
      </c>
      <c r="R20" s="746" t="s">
        <v>1989</v>
      </c>
      <c r="S20" s="750"/>
      <c r="T20" s="751"/>
    </row>
    <row r="21" spans="11:20" ht="18" customHeight="1">
      <c r="K21" s="724">
        <v>16</v>
      </c>
      <c r="L21" s="725" t="s">
        <v>1936</v>
      </c>
      <c r="M21" s="725" t="s">
        <v>1956</v>
      </c>
      <c r="N21" s="725" t="s">
        <v>1990</v>
      </c>
      <c r="O21" s="725" t="s">
        <v>1991</v>
      </c>
      <c r="P21" s="737" t="e">
        <f>COUNTIF('[8]活動記録（多面的機能支払交付金の様式）'!$H$9:$M$28,[8]【選択肢】!K21)</f>
        <v>#VALUE!</v>
      </c>
      <c r="R21" s="746" t="s">
        <v>1992</v>
      </c>
      <c r="S21" s="750"/>
      <c r="T21" s="751"/>
    </row>
    <row r="22" spans="11:20" ht="18" customHeight="1">
      <c r="K22" s="724">
        <v>17</v>
      </c>
      <c r="L22" s="725" t="s">
        <v>1936</v>
      </c>
      <c r="M22" s="725" t="s">
        <v>1993</v>
      </c>
      <c r="N22" s="725" t="s">
        <v>1993</v>
      </c>
      <c r="O22" s="725" t="s">
        <v>1994</v>
      </c>
      <c r="P22" s="737" t="e">
        <f>COUNTIF('[8]活動記録（多面的機能支払交付金の様式）'!$H$9:$M$28,[8]【選択肢】!K22)</f>
        <v>#VALUE!</v>
      </c>
      <c r="R22" s="746" t="s">
        <v>1995</v>
      </c>
      <c r="S22" s="750"/>
      <c r="T22" s="751"/>
    </row>
    <row r="23" spans="11:20" ht="18" customHeight="1">
      <c r="K23" s="724">
        <v>18</v>
      </c>
      <c r="L23" s="725" t="s">
        <v>1936</v>
      </c>
      <c r="M23" s="725" t="s">
        <v>1993</v>
      </c>
      <c r="N23" s="725" t="s">
        <v>1993</v>
      </c>
      <c r="O23" s="725" t="s">
        <v>1996</v>
      </c>
      <c r="P23" s="737" t="e">
        <f>COUNTIF('[8]活動記録（多面的機能支払交付金の様式）'!$H$9:$M$28,[8]【選択肢】!K23)</f>
        <v>#VALUE!</v>
      </c>
      <c r="R23" s="746" t="s">
        <v>1997</v>
      </c>
      <c r="S23" s="750"/>
      <c r="T23" s="751"/>
    </row>
    <row r="24" spans="11:20" ht="18" customHeight="1">
      <c r="K24" s="724">
        <v>19</v>
      </c>
      <c r="L24" s="725" t="s">
        <v>1936</v>
      </c>
      <c r="M24" s="725" t="s">
        <v>1993</v>
      </c>
      <c r="N24" s="725" t="s">
        <v>1993</v>
      </c>
      <c r="O24" s="725" t="s">
        <v>1998</v>
      </c>
      <c r="P24" s="737" t="e">
        <f>COUNTIF('[8]活動記録（多面的機能支払交付金の様式）'!$H$9:$M$28,[8]【選択肢】!K24)</f>
        <v>#VALUE!</v>
      </c>
      <c r="R24" s="746" t="s">
        <v>1999</v>
      </c>
      <c r="S24" s="750"/>
      <c r="T24" s="751"/>
    </row>
    <row r="25" spans="11:20" ht="18" customHeight="1">
      <c r="K25" s="724">
        <v>20</v>
      </c>
      <c r="L25" s="725" t="s">
        <v>1936</v>
      </c>
      <c r="M25" s="725" t="s">
        <v>1993</v>
      </c>
      <c r="N25" s="725" t="s">
        <v>1993</v>
      </c>
      <c r="O25" s="725" t="s">
        <v>2000</v>
      </c>
      <c r="P25" s="737" t="e">
        <f>COUNTIF('[8]活動記録（多面的機能支払交付金の様式）'!$H$9:$M$28,[8]【選択肢】!K25)</f>
        <v>#VALUE!</v>
      </c>
      <c r="R25" s="746"/>
      <c r="S25" s="750"/>
      <c r="T25" s="751"/>
    </row>
    <row r="26" spans="11:20" ht="18" customHeight="1">
      <c r="K26" s="724">
        <v>21</v>
      </c>
      <c r="L26" s="725" t="s">
        <v>1936</v>
      </c>
      <c r="M26" s="725" t="s">
        <v>1993</v>
      </c>
      <c r="N26" s="725" t="s">
        <v>1993</v>
      </c>
      <c r="O26" s="725" t="s">
        <v>2001</v>
      </c>
      <c r="P26" s="737" t="e">
        <f>COUNTIF('[8]活動記録（多面的機能支払交付金の様式）'!$H$9:$M$28,[8]【選択肢】!K26)</f>
        <v>#VALUE!</v>
      </c>
      <c r="R26" s="743" t="s">
        <v>2002</v>
      </c>
      <c r="S26" s="750"/>
      <c r="T26" s="751"/>
    </row>
    <row r="27" spans="11:20" ht="18" customHeight="1">
      <c r="K27" s="724">
        <v>22</v>
      </c>
      <c r="L27" s="725" t="s">
        <v>1936</v>
      </c>
      <c r="M27" s="725" t="s">
        <v>1993</v>
      </c>
      <c r="N27" s="725" t="s">
        <v>1993</v>
      </c>
      <c r="O27" s="725" t="s">
        <v>2003</v>
      </c>
      <c r="P27" s="737" t="e">
        <f>COUNTIF('[8]活動記録（多面的機能支払交付金の様式）'!$H$9:$M$28,[8]【選択肢】!K27)</f>
        <v>#VALUE!</v>
      </c>
      <c r="R27" s="746" t="s">
        <v>2004</v>
      </c>
      <c r="S27" s="750"/>
      <c r="T27" s="751"/>
    </row>
    <row r="28" spans="11:20" ht="18" customHeight="1">
      <c r="K28" s="724">
        <v>23</v>
      </c>
      <c r="L28" s="725" t="s">
        <v>1936</v>
      </c>
      <c r="M28" s="725" t="s">
        <v>1993</v>
      </c>
      <c r="N28" s="725" t="s">
        <v>1993</v>
      </c>
      <c r="O28" s="725" t="s">
        <v>2005</v>
      </c>
      <c r="P28" s="737" t="e">
        <f>COUNTIF('[8]活動記録（多面的機能支払交付金の様式）'!$H$9:$M$28,[8]【選択肢】!K28)</f>
        <v>#VALUE!</v>
      </c>
      <c r="R28" s="746" t="s">
        <v>2006</v>
      </c>
      <c r="S28" s="750"/>
      <c r="T28" s="751"/>
    </row>
    <row r="29" spans="11:20" ht="18" customHeight="1">
      <c r="K29" s="724">
        <v>24</v>
      </c>
      <c r="L29" s="725" t="s">
        <v>2007</v>
      </c>
      <c r="M29" s="725" t="s">
        <v>2008</v>
      </c>
      <c r="N29" s="725" t="s">
        <v>2009</v>
      </c>
      <c r="O29" s="725" t="s">
        <v>2010</v>
      </c>
      <c r="P29" s="737" t="e">
        <f>COUNTIF('[8]活動記録（多面的機能支払交付金の様式）'!$H$9:$M$28,[8]【選択肢】!K29)</f>
        <v>#VALUE!</v>
      </c>
      <c r="R29" s="738"/>
      <c r="S29" s="739"/>
      <c r="T29" s="740"/>
    </row>
    <row r="30" spans="11:20" ht="18" customHeight="1">
      <c r="K30" s="724">
        <v>25</v>
      </c>
      <c r="L30" s="725" t="s">
        <v>2007</v>
      </c>
      <c r="M30" s="725" t="s">
        <v>2008</v>
      </c>
      <c r="N30" s="725" t="s">
        <v>2009</v>
      </c>
      <c r="O30" s="725" t="s">
        <v>2011</v>
      </c>
      <c r="P30" s="737" t="e">
        <f>COUNTIF('[8]活動記録（多面的機能支払交付金の様式）'!$H$9:$M$28,[8]【選択肢】!K30)</f>
        <v>#VALUE!</v>
      </c>
      <c r="R30" s="749" t="s">
        <v>2012</v>
      </c>
      <c r="S30" s="750"/>
      <c r="T30" s="751"/>
    </row>
    <row r="31" spans="11:20" ht="18" customHeight="1">
      <c r="K31" s="724">
        <v>26</v>
      </c>
      <c r="L31" s="725" t="s">
        <v>2007</v>
      </c>
      <c r="M31" s="725" t="s">
        <v>2008</v>
      </c>
      <c r="N31" s="725" t="s">
        <v>2009</v>
      </c>
      <c r="O31" s="725" t="s">
        <v>2013</v>
      </c>
      <c r="P31" s="737" t="e">
        <f>COUNTIF('[8]活動記録（多面的機能支払交付金の様式）'!$H$9:$M$28,[8]【選択肢】!K31)</f>
        <v>#VALUE!</v>
      </c>
      <c r="R31" s="1770" t="s">
        <v>2014</v>
      </c>
      <c r="S31" s="1771"/>
      <c r="T31" s="1772"/>
    </row>
    <row r="32" spans="11:20" ht="18" customHeight="1">
      <c r="K32" s="724">
        <v>27</v>
      </c>
      <c r="L32" s="725" t="s">
        <v>2007</v>
      </c>
      <c r="M32" s="725" t="s">
        <v>2008</v>
      </c>
      <c r="N32" s="725" t="s">
        <v>2009</v>
      </c>
      <c r="O32" s="725" t="s">
        <v>2015</v>
      </c>
      <c r="P32" s="737" t="e">
        <f>COUNTIF('[8]活動記録（多面的機能支払交付金の様式）'!$H$9:$M$28,[8]【選択肢】!K32)</f>
        <v>#VALUE!</v>
      </c>
      <c r="R32" s="746" t="s">
        <v>2016</v>
      </c>
      <c r="S32" s="750"/>
      <c r="T32" s="751"/>
    </row>
    <row r="33" spans="11:20" ht="18" customHeight="1">
      <c r="K33" s="724">
        <v>28</v>
      </c>
      <c r="L33" s="725" t="s">
        <v>2007</v>
      </c>
      <c r="M33" s="725" t="s">
        <v>2008</v>
      </c>
      <c r="N33" s="725" t="s">
        <v>1945</v>
      </c>
      <c r="O33" s="725" t="s">
        <v>2017</v>
      </c>
      <c r="P33" s="737" t="e">
        <f>COUNTIF('[8]活動記録（多面的機能支払交付金の様式）'!$H$9:$M$28,[8]【選択肢】!K33)</f>
        <v>#VALUE!</v>
      </c>
      <c r="R33" s="746" t="s">
        <v>2018</v>
      </c>
      <c r="S33" s="750"/>
      <c r="T33" s="751"/>
    </row>
    <row r="34" spans="11:20" ht="18" customHeight="1">
      <c r="K34" s="724">
        <v>29</v>
      </c>
      <c r="L34" s="725" t="s">
        <v>2007</v>
      </c>
      <c r="M34" s="725" t="s">
        <v>2019</v>
      </c>
      <c r="N34" s="725" t="s">
        <v>1951</v>
      </c>
      <c r="O34" s="725" t="s">
        <v>2020</v>
      </c>
      <c r="P34" s="737" t="e">
        <f>COUNTIF('[8]活動記録（多面的機能支払交付金の様式）'!$H$9:$M$28,[8]【選択肢】!K34)</f>
        <v>#VALUE!</v>
      </c>
      <c r="R34" s="752" t="s">
        <v>1980</v>
      </c>
      <c r="S34" s="753"/>
      <c r="T34" s="754"/>
    </row>
    <row r="35" spans="11:20" ht="18" customHeight="1">
      <c r="K35" s="724">
        <v>30</v>
      </c>
      <c r="L35" s="725" t="s">
        <v>2007</v>
      </c>
      <c r="M35" s="725" t="s">
        <v>1956</v>
      </c>
      <c r="N35" s="725" t="s">
        <v>1957</v>
      </c>
      <c r="O35" s="725" t="s">
        <v>2021</v>
      </c>
      <c r="P35" s="737" t="e">
        <f>COUNTIF('[8]活動記録（多面的機能支払交付金の様式）'!$H$9:$M$28,[8]【選択肢】!K35)</f>
        <v>#VALUE!</v>
      </c>
    </row>
    <row r="36" spans="11:20" ht="18" customHeight="1">
      <c r="K36" s="724">
        <v>31</v>
      </c>
      <c r="L36" s="725" t="s">
        <v>2007</v>
      </c>
      <c r="M36" s="725" t="s">
        <v>1956</v>
      </c>
      <c r="N36" s="725" t="s">
        <v>271</v>
      </c>
      <c r="O36" s="725" t="s">
        <v>2022</v>
      </c>
      <c r="P36" s="737" t="e">
        <f>COUNTIF('[8]活動記録（多面的機能支払交付金の様式）'!$H$9:$M$28,[8]【選択肢】!K36)</f>
        <v>#VALUE!</v>
      </c>
    </row>
    <row r="37" spans="11:20" ht="18" customHeight="1">
      <c r="K37" s="724">
        <v>32</v>
      </c>
      <c r="L37" s="725" t="s">
        <v>2007</v>
      </c>
      <c r="M37" s="725" t="s">
        <v>1956</v>
      </c>
      <c r="N37" s="725" t="s">
        <v>272</v>
      </c>
      <c r="O37" s="725" t="s">
        <v>2023</v>
      </c>
      <c r="P37" s="737" t="e">
        <f>COUNTIF('[8]活動記録（多面的機能支払交付金の様式）'!$H$9:$M$28,[8]【選択肢】!K37)</f>
        <v>#VALUE!</v>
      </c>
    </row>
    <row r="38" spans="11:20" ht="18" customHeight="1">
      <c r="K38" s="724">
        <v>33</v>
      </c>
      <c r="L38" s="725" t="s">
        <v>2007</v>
      </c>
      <c r="M38" s="725" t="s">
        <v>1956</v>
      </c>
      <c r="N38" s="725" t="s">
        <v>273</v>
      </c>
      <c r="O38" s="725" t="s">
        <v>2024</v>
      </c>
      <c r="P38" s="737" t="e">
        <f>COUNTIF('[8]活動記録（多面的機能支払交付金の様式）'!$H$9:$M$28,[8]【選択肢】!K38)</f>
        <v>#VALUE!</v>
      </c>
    </row>
    <row r="39" spans="11:20" ht="18" customHeight="1">
      <c r="K39" s="724">
        <v>34</v>
      </c>
      <c r="L39" s="725" t="s">
        <v>2007</v>
      </c>
      <c r="M39" s="725" t="s">
        <v>1945</v>
      </c>
      <c r="N39" s="725" t="s">
        <v>2025</v>
      </c>
      <c r="O39" s="725" t="s">
        <v>2026</v>
      </c>
      <c r="P39" s="737" t="e">
        <f>COUNTIF('[8]活動記録（多面的機能支払交付金の様式）'!$H$9:$M$28,[8]【選択肢】!K39)</f>
        <v>#VALUE!</v>
      </c>
    </row>
    <row r="40" spans="11:20" ht="18" customHeight="1">
      <c r="K40" s="724">
        <v>35</v>
      </c>
      <c r="L40" s="725" t="s">
        <v>2007</v>
      </c>
      <c r="M40" s="725" t="s">
        <v>1945</v>
      </c>
      <c r="N40" s="725" t="s">
        <v>2027</v>
      </c>
      <c r="O40" s="725" t="s">
        <v>2028</v>
      </c>
      <c r="P40" s="737" t="e">
        <f>COUNTIF('[8]活動記録（多面的機能支払交付金の様式）'!$H$9:$M$28,[8]【選択肢】!K40)</f>
        <v>#VALUE!</v>
      </c>
    </row>
    <row r="41" spans="11:20" ht="18" customHeight="1">
      <c r="K41" s="724">
        <v>36</v>
      </c>
      <c r="L41" s="725" t="s">
        <v>2007</v>
      </c>
      <c r="M41" s="725" t="s">
        <v>1945</v>
      </c>
      <c r="N41" s="725" t="s">
        <v>2029</v>
      </c>
      <c r="O41" s="725" t="s">
        <v>2030</v>
      </c>
      <c r="P41" s="737" t="e">
        <f>COUNTIF('[8]活動記録（多面的機能支払交付金の様式）'!$H$9:$M$28,[8]【選択肢】!K41)</f>
        <v>#VALUE!</v>
      </c>
    </row>
    <row r="42" spans="11:20" ht="18" customHeight="1">
      <c r="K42" s="724">
        <v>37</v>
      </c>
      <c r="L42" s="725" t="s">
        <v>2007</v>
      </c>
      <c r="M42" s="725" t="s">
        <v>1945</v>
      </c>
      <c r="N42" s="725" t="s">
        <v>2031</v>
      </c>
      <c r="O42" s="725" t="s">
        <v>2032</v>
      </c>
      <c r="P42" s="737" t="e">
        <f>COUNTIF('[8]活動記録（多面的機能支払交付金の様式）'!$H$9:$M$28,[8]【選択肢】!K42)</f>
        <v>#VALUE!</v>
      </c>
      <c r="Q42" s="755" t="s">
        <v>2033</v>
      </c>
    </row>
    <row r="43" spans="11:20" ht="18" customHeight="1">
      <c r="K43" s="724">
        <v>38</v>
      </c>
      <c r="L43" s="725" t="s">
        <v>2007</v>
      </c>
      <c r="M43" s="725" t="s">
        <v>1945</v>
      </c>
      <c r="N43" s="725" t="s">
        <v>2034</v>
      </c>
      <c r="O43" s="756" t="s">
        <v>2035</v>
      </c>
      <c r="P43" s="737" t="e">
        <f>COUNTIF('[8]活動記録（多面的機能支払交付金の様式）'!$H$9:$M$28,[8]【選択肢】!K43)</f>
        <v>#VALUE!</v>
      </c>
      <c r="Q43" s="757" t="s">
        <v>2036</v>
      </c>
      <c r="S43" s="758"/>
    </row>
    <row r="44" spans="11:20" ht="18" customHeight="1">
      <c r="K44" s="724">
        <v>39</v>
      </c>
      <c r="L44" s="725" t="s">
        <v>2007</v>
      </c>
      <c r="M44" s="725" t="s">
        <v>1956</v>
      </c>
      <c r="N44" s="725" t="s">
        <v>2025</v>
      </c>
      <c r="O44" s="759" t="s">
        <v>2037</v>
      </c>
      <c r="P44" s="737" t="e">
        <f>COUNTIF('[8]活動記録（多面的機能支払交付金の様式）'!$H$9:$M$28,[8]【選択肢】!K44)</f>
        <v>#VALUE!</v>
      </c>
      <c r="Q44" s="760" t="s">
        <v>2037</v>
      </c>
      <c r="R44" s="761"/>
    </row>
    <row r="45" spans="11:20" ht="18" customHeight="1">
      <c r="K45" s="724">
        <v>40</v>
      </c>
      <c r="L45" s="725" t="s">
        <v>2007</v>
      </c>
      <c r="M45" s="725" t="s">
        <v>1956</v>
      </c>
      <c r="N45" s="725" t="s">
        <v>2025</v>
      </c>
      <c r="O45" s="759" t="s">
        <v>2038</v>
      </c>
      <c r="P45" s="737" t="e">
        <f>COUNTIF('[8]活動記録（多面的機能支払交付金の様式）'!$H$9:$M$28,[8]【選択肢】!K45)</f>
        <v>#VALUE!</v>
      </c>
      <c r="Q45" s="760" t="s">
        <v>2038</v>
      </c>
      <c r="R45" s="761"/>
    </row>
    <row r="46" spans="11:20" ht="18" customHeight="1">
      <c r="K46" s="724">
        <v>41</v>
      </c>
      <c r="L46" s="725" t="s">
        <v>2007</v>
      </c>
      <c r="M46" s="725" t="s">
        <v>1956</v>
      </c>
      <c r="N46" s="725" t="s">
        <v>2025</v>
      </c>
      <c r="O46" s="759" t="s">
        <v>2039</v>
      </c>
      <c r="P46" s="737" t="e">
        <f>COUNTIF('[8]活動記録（多面的機能支払交付金の様式）'!$H$9:$M$28,[8]【選択肢】!K46)</f>
        <v>#VALUE!</v>
      </c>
      <c r="Q46" s="760" t="s">
        <v>2039</v>
      </c>
      <c r="R46" s="761"/>
    </row>
    <row r="47" spans="11:20" ht="18" customHeight="1">
      <c r="K47" s="724">
        <v>42</v>
      </c>
      <c r="L47" s="725" t="s">
        <v>2007</v>
      </c>
      <c r="M47" s="725" t="s">
        <v>1956</v>
      </c>
      <c r="N47" s="725" t="s">
        <v>2027</v>
      </c>
      <c r="O47" s="759" t="s">
        <v>2040</v>
      </c>
      <c r="P47" s="737" t="e">
        <f>COUNTIF('[8]活動記録（多面的機能支払交付金の様式）'!$H$9:$M$28,[8]【選択肢】!K47)</f>
        <v>#VALUE!</v>
      </c>
      <c r="Q47" s="760" t="s">
        <v>2040</v>
      </c>
      <c r="R47" s="761"/>
    </row>
    <row r="48" spans="11:20" ht="18" customHeight="1">
      <c r="K48" s="724">
        <v>43</v>
      </c>
      <c r="L48" s="725" t="s">
        <v>2007</v>
      </c>
      <c r="M48" s="725" t="s">
        <v>1956</v>
      </c>
      <c r="N48" s="725" t="s">
        <v>2027</v>
      </c>
      <c r="O48" s="759" t="s">
        <v>2041</v>
      </c>
      <c r="P48" s="737" t="e">
        <f>COUNTIF('[8]活動記録（多面的機能支払交付金の様式）'!$H$9:$M$28,[8]【選択肢】!K48)</f>
        <v>#VALUE!</v>
      </c>
      <c r="Q48" s="760" t="s">
        <v>2041</v>
      </c>
      <c r="R48" s="761"/>
    </row>
    <row r="49" spans="11:20" ht="18" customHeight="1">
      <c r="K49" s="724">
        <v>44</v>
      </c>
      <c r="L49" s="725" t="s">
        <v>2007</v>
      </c>
      <c r="M49" s="725" t="s">
        <v>1956</v>
      </c>
      <c r="N49" s="725" t="s">
        <v>2027</v>
      </c>
      <c r="O49" s="759" t="s">
        <v>2042</v>
      </c>
      <c r="P49" s="737" t="e">
        <f>COUNTIF('[8]活動記録（多面的機能支払交付金の様式）'!$H$9:$M$28,[8]【選択肢】!K49)</f>
        <v>#VALUE!</v>
      </c>
      <c r="Q49" s="760" t="s">
        <v>2042</v>
      </c>
      <c r="R49" s="761"/>
    </row>
    <row r="50" spans="11:20" ht="18" customHeight="1">
      <c r="K50" s="724">
        <v>45</v>
      </c>
      <c r="L50" s="725" t="s">
        <v>2007</v>
      </c>
      <c r="M50" s="725" t="s">
        <v>1956</v>
      </c>
      <c r="N50" s="725" t="s">
        <v>2029</v>
      </c>
      <c r="O50" s="759" t="s">
        <v>2043</v>
      </c>
      <c r="P50" s="737" t="e">
        <f>COUNTIF('[8]活動記録（多面的機能支払交付金の様式）'!$H$9:$M$28,[8]【選択肢】!K50)</f>
        <v>#VALUE!</v>
      </c>
      <c r="Q50" s="760" t="s">
        <v>2043</v>
      </c>
      <c r="R50" s="761"/>
    </row>
    <row r="51" spans="11:20" ht="18" customHeight="1">
      <c r="K51" s="724">
        <v>46</v>
      </c>
      <c r="L51" s="725" t="s">
        <v>2007</v>
      </c>
      <c r="M51" s="725" t="s">
        <v>1956</v>
      </c>
      <c r="N51" s="725" t="s">
        <v>2029</v>
      </c>
      <c r="O51" s="759" t="s">
        <v>2044</v>
      </c>
      <c r="P51" s="737" t="e">
        <f>COUNTIF('[8]活動記録（多面的機能支払交付金の様式）'!$H$9:$M$28,[8]【選択肢】!K51)</f>
        <v>#VALUE!</v>
      </c>
      <c r="Q51" s="760" t="s">
        <v>2044</v>
      </c>
      <c r="R51" s="761"/>
    </row>
    <row r="52" spans="11:20" ht="18" customHeight="1">
      <c r="K52" s="724">
        <v>47</v>
      </c>
      <c r="L52" s="725" t="s">
        <v>2007</v>
      </c>
      <c r="M52" s="725" t="s">
        <v>1956</v>
      </c>
      <c r="N52" s="725" t="s">
        <v>2029</v>
      </c>
      <c r="O52" s="759" t="s">
        <v>2045</v>
      </c>
      <c r="P52" s="737" t="e">
        <f>COUNTIF('[8]活動記録（多面的機能支払交付金の様式）'!$H$9:$M$28,[8]【選択肢】!K52)</f>
        <v>#VALUE!</v>
      </c>
      <c r="Q52" s="760" t="s">
        <v>2045</v>
      </c>
      <c r="R52" s="761"/>
    </row>
    <row r="53" spans="11:20" ht="18" customHeight="1">
      <c r="K53" s="724">
        <v>48</v>
      </c>
      <c r="L53" s="725" t="s">
        <v>2007</v>
      </c>
      <c r="M53" s="725" t="s">
        <v>1956</v>
      </c>
      <c r="N53" s="725" t="s">
        <v>2031</v>
      </c>
      <c r="O53" s="759" t="s">
        <v>2046</v>
      </c>
      <c r="P53" s="737" t="e">
        <f>COUNTIF('[8]活動記録（多面的機能支払交付金の様式）'!$H$9:$M$28,[8]【選択肢】!K53)</f>
        <v>#VALUE!</v>
      </c>
      <c r="Q53" s="760" t="s">
        <v>2046</v>
      </c>
      <c r="R53" s="761"/>
    </row>
    <row r="54" spans="11:20" ht="18" customHeight="1">
      <c r="K54" s="724">
        <v>49</v>
      </c>
      <c r="L54" s="725" t="s">
        <v>2007</v>
      </c>
      <c r="M54" s="725" t="s">
        <v>1956</v>
      </c>
      <c r="N54" s="725" t="s">
        <v>2031</v>
      </c>
      <c r="O54" s="759" t="s">
        <v>2047</v>
      </c>
      <c r="P54" s="737" t="e">
        <f>COUNTIF('[8]活動記録（多面的機能支払交付金の様式）'!$H$9:$M$28,[8]【選択肢】!K54)</f>
        <v>#VALUE!</v>
      </c>
      <c r="Q54" s="760" t="s">
        <v>2047</v>
      </c>
      <c r="R54" s="761"/>
    </row>
    <row r="55" spans="11:20" ht="18" customHeight="1">
      <c r="K55" s="724">
        <v>50</v>
      </c>
      <c r="L55" s="725" t="s">
        <v>2007</v>
      </c>
      <c r="M55" s="725" t="s">
        <v>1956</v>
      </c>
      <c r="N55" s="725" t="s">
        <v>2034</v>
      </c>
      <c r="O55" s="759" t="s">
        <v>2048</v>
      </c>
      <c r="P55" s="737" t="e">
        <f>COUNTIF('[8]活動記録（多面的機能支払交付金の様式）'!$H$9:$M$28,[8]【選択肢】!K55)</f>
        <v>#VALUE!</v>
      </c>
      <c r="Q55" s="760" t="s">
        <v>2048</v>
      </c>
      <c r="R55" s="762" t="s">
        <v>2033</v>
      </c>
    </row>
    <row r="56" spans="11:20" ht="18" customHeight="1">
      <c r="K56" s="724">
        <v>51</v>
      </c>
      <c r="L56" s="725" t="s">
        <v>2007</v>
      </c>
      <c r="M56" s="725" t="s">
        <v>2049</v>
      </c>
      <c r="N56" s="725" t="s">
        <v>2049</v>
      </c>
      <c r="O56" s="763" t="s">
        <v>2050</v>
      </c>
      <c r="P56" s="737" t="e">
        <f>COUNTIF('[8]活動記録（多面的機能支払交付金の様式）'!$H$9:$M$28,[8]【選択肢】!K56)</f>
        <v>#VALUE!</v>
      </c>
      <c r="Q56" s="764"/>
      <c r="R56" s="719" t="s">
        <v>2051</v>
      </c>
      <c r="S56" s="765"/>
      <c r="T56" s="758"/>
    </row>
    <row r="57" spans="11:20" ht="18" customHeight="1">
      <c r="K57" s="724">
        <v>52</v>
      </c>
      <c r="L57" s="725" t="s">
        <v>2007</v>
      </c>
      <c r="M57" s="725" t="s">
        <v>2052</v>
      </c>
      <c r="N57" s="725" t="s">
        <v>2052</v>
      </c>
      <c r="O57" s="725" t="s">
        <v>2053</v>
      </c>
      <c r="P57" s="737" t="e">
        <f>COUNTIF('[8]活動記録（多面的機能支払交付金の様式）'!$H$9:$M$28,[8]【選択肢】!K57)</f>
        <v>#VALUE!</v>
      </c>
      <c r="R57" s="766" t="s">
        <v>2054</v>
      </c>
      <c r="S57" s="767"/>
      <c r="T57" s="768"/>
    </row>
    <row r="58" spans="11:20" ht="18" customHeight="1">
      <c r="K58" s="724">
        <v>53</v>
      </c>
      <c r="L58" s="725" t="s">
        <v>2007</v>
      </c>
      <c r="M58" s="725" t="s">
        <v>2052</v>
      </c>
      <c r="N58" s="725" t="s">
        <v>2052</v>
      </c>
      <c r="O58" s="725" t="s">
        <v>2055</v>
      </c>
      <c r="P58" s="737" t="e">
        <f>COUNTIF('[8]活動記録（多面的機能支払交付金の様式）'!$H$9:$M$28,[8]【選択肢】!K58)</f>
        <v>#VALUE!</v>
      </c>
      <c r="R58" s="769" t="s">
        <v>2056</v>
      </c>
      <c r="S58" s="767"/>
      <c r="T58" s="768"/>
    </row>
    <row r="59" spans="11:20" ht="18" customHeight="1">
      <c r="K59" s="724">
        <v>54</v>
      </c>
      <c r="L59" s="725" t="s">
        <v>2007</v>
      </c>
      <c r="M59" s="725" t="s">
        <v>2052</v>
      </c>
      <c r="N59" s="725" t="s">
        <v>2052</v>
      </c>
      <c r="O59" s="725" t="s">
        <v>2057</v>
      </c>
      <c r="P59" s="737" t="e">
        <f>COUNTIF('[8]活動記録（多面的機能支払交付金の様式）'!$H$9:$M$28,[8]【選択肢】!K59)</f>
        <v>#VALUE!</v>
      </c>
      <c r="R59" s="769" t="s">
        <v>2058</v>
      </c>
      <c r="S59" s="767"/>
      <c r="T59" s="768"/>
    </row>
    <row r="60" spans="11:20" ht="18" customHeight="1">
      <c r="K60" s="724">
        <v>55</v>
      </c>
      <c r="L60" s="725" t="s">
        <v>2007</v>
      </c>
      <c r="M60" s="725" t="s">
        <v>2052</v>
      </c>
      <c r="N60" s="725" t="s">
        <v>2052</v>
      </c>
      <c r="O60" s="725" t="s">
        <v>2059</v>
      </c>
      <c r="P60" s="737" t="e">
        <f>COUNTIF('[8]活動記録（多面的機能支払交付金の様式）'!$H$9:$M$28,[8]【選択肢】!K60)</f>
        <v>#VALUE!</v>
      </c>
      <c r="R60" s="769" t="s">
        <v>2060</v>
      </c>
      <c r="S60" s="767"/>
      <c r="T60" s="768"/>
    </row>
    <row r="61" spans="11:20" ht="18" customHeight="1">
      <c r="K61" s="724">
        <v>56</v>
      </c>
      <c r="L61" s="725" t="s">
        <v>2007</v>
      </c>
      <c r="M61" s="725" t="s">
        <v>2052</v>
      </c>
      <c r="N61" s="725" t="s">
        <v>2052</v>
      </c>
      <c r="O61" s="725" t="s">
        <v>2061</v>
      </c>
      <c r="P61" s="737" t="e">
        <f>COUNTIF('[8]活動記録（多面的機能支払交付金の様式）'!$H$9:$M$28,[8]【選択肢】!K61)</f>
        <v>#VALUE!</v>
      </c>
      <c r="R61" s="769" t="s">
        <v>2062</v>
      </c>
      <c r="S61" s="767"/>
      <c r="T61" s="768"/>
    </row>
    <row r="62" spans="11:20" ht="18" customHeight="1">
      <c r="K62" s="724">
        <v>57</v>
      </c>
      <c r="L62" s="725" t="s">
        <v>2007</v>
      </c>
      <c r="M62" s="725" t="s">
        <v>2052</v>
      </c>
      <c r="N62" s="725" t="s">
        <v>2052</v>
      </c>
      <c r="O62" s="725" t="s">
        <v>2063</v>
      </c>
      <c r="P62" s="737" t="e">
        <f>COUNTIF('[8]活動記録（多面的機能支払交付金の様式）'!$H$9:$M$28,[8]【選択肢】!K62)</f>
        <v>#VALUE!</v>
      </c>
      <c r="R62" s="769" t="s">
        <v>2064</v>
      </c>
      <c r="S62" s="767"/>
      <c r="T62" s="768"/>
    </row>
    <row r="63" spans="11:20" ht="18" customHeight="1">
      <c r="K63" s="724">
        <v>58</v>
      </c>
      <c r="L63" s="725" t="s">
        <v>2007</v>
      </c>
      <c r="M63" s="725" t="s">
        <v>2052</v>
      </c>
      <c r="N63" s="725" t="s">
        <v>2052</v>
      </c>
      <c r="O63" s="725" t="s">
        <v>2065</v>
      </c>
      <c r="P63" s="737" t="e">
        <f>COUNTIF('[8]活動記録（多面的機能支払交付金の様式）'!$H$9:$M$28,[8]【選択肢】!K63)</f>
        <v>#VALUE!</v>
      </c>
      <c r="R63" s="769" t="s">
        <v>2066</v>
      </c>
      <c r="S63" s="767"/>
      <c r="T63" s="768"/>
    </row>
    <row r="64" spans="11:20" ht="18" customHeight="1">
      <c r="K64" s="724">
        <v>59</v>
      </c>
      <c r="L64" s="725" t="s">
        <v>2007</v>
      </c>
      <c r="M64" s="725" t="s">
        <v>2052</v>
      </c>
      <c r="N64" s="725" t="s">
        <v>2052</v>
      </c>
      <c r="O64" s="725" t="s">
        <v>2067</v>
      </c>
      <c r="P64" s="737" t="e">
        <f>COUNTIF('[8]活動記録（多面的機能支払交付金の様式）'!$H$9:$M$28,[8]【選択肢】!K64)</f>
        <v>#VALUE!</v>
      </c>
      <c r="R64" s="770" t="s">
        <v>2068</v>
      </c>
      <c r="S64" s="762" t="s">
        <v>2033</v>
      </c>
      <c r="T64" s="768"/>
    </row>
    <row r="65" spans="11:20" ht="18" customHeight="1">
      <c r="K65" s="724">
        <v>60</v>
      </c>
      <c r="L65" s="725" t="s">
        <v>2007</v>
      </c>
      <c r="M65" s="725" t="s">
        <v>2052</v>
      </c>
      <c r="N65" s="725" t="s">
        <v>2052</v>
      </c>
      <c r="O65" s="725" t="s">
        <v>2069</v>
      </c>
      <c r="P65" s="737" t="e">
        <f>COUNTIF('[8]活動記録（多面的機能支払交付金の様式）'!$H$9:$M$28,[8]【選択肢】!K65)</f>
        <v>#VALUE!</v>
      </c>
      <c r="R65" s="771"/>
      <c r="S65" s="719" t="s">
        <v>2070</v>
      </c>
      <c r="T65" s="765"/>
    </row>
    <row r="66" spans="11:20" ht="18" customHeight="1">
      <c r="K66" s="724">
        <v>61</v>
      </c>
      <c r="L66" s="725" t="s">
        <v>2071</v>
      </c>
      <c r="M66" s="725" t="s">
        <v>1956</v>
      </c>
      <c r="N66" s="725" t="s">
        <v>271</v>
      </c>
      <c r="O66" s="725" t="s">
        <v>2072</v>
      </c>
      <c r="P66" s="737" t="e">
        <f>COUNTIF('[8]活動記録（多面的機能支払交付金の様式）'!$H$9:$M$28,[8]【選択肢】!K66)</f>
        <v>#VALUE!</v>
      </c>
      <c r="S66" s="766" t="s">
        <v>2073</v>
      </c>
      <c r="T66" s="767"/>
    </row>
    <row r="67" spans="11:20" ht="18" customHeight="1">
      <c r="K67" s="724">
        <v>62</v>
      </c>
      <c r="L67" s="725" t="s">
        <v>2071</v>
      </c>
      <c r="M67" s="725" t="s">
        <v>1956</v>
      </c>
      <c r="N67" s="725" t="s">
        <v>271</v>
      </c>
      <c r="O67" s="725" t="s">
        <v>2074</v>
      </c>
      <c r="P67" s="737" t="e">
        <f>COUNTIF('[8]活動記録（多面的機能支払交付金の様式）'!$H$9:$M$28,[8]【選択肢】!K67)</f>
        <v>#VALUE!</v>
      </c>
      <c r="S67" s="769" t="s">
        <v>2075</v>
      </c>
      <c r="T67" s="767"/>
    </row>
    <row r="68" spans="11:20" ht="18" customHeight="1">
      <c r="K68" s="724">
        <v>63</v>
      </c>
      <c r="L68" s="725" t="s">
        <v>2071</v>
      </c>
      <c r="M68" s="725" t="s">
        <v>1956</v>
      </c>
      <c r="N68" s="725" t="s">
        <v>272</v>
      </c>
      <c r="O68" s="725" t="s">
        <v>2076</v>
      </c>
      <c r="P68" s="737" t="e">
        <f>COUNTIF('[8]活動記録（多面的機能支払交付金の様式）'!$H$9:$M$28,[8]【選択肢】!K68)</f>
        <v>#VALUE!</v>
      </c>
      <c r="S68" s="769" t="s">
        <v>2077</v>
      </c>
      <c r="T68" s="767"/>
    </row>
    <row r="69" spans="11:20" ht="18" customHeight="1">
      <c r="K69" s="724">
        <v>64</v>
      </c>
      <c r="L69" s="725" t="s">
        <v>2071</v>
      </c>
      <c r="M69" s="725" t="s">
        <v>1956</v>
      </c>
      <c r="N69" s="725" t="s">
        <v>272</v>
      </c>
      <c r="O69" s="725" t="s">
        <v>2078</v>
      </c>
      <c r="P69" s="737" t="e">
        <f>COUNTIF('[8]活動記録（多面的機能支払交付金の様式）'!$H$9:$M$28,[8]【選択肢】!K69)</f>
        <v>#VALUE!</v>
      </c>
      <c r="S69" s="769" t="s">
        <v>2079</v>
      </c>
      <c r="T69" s="767"/>
    </row>
    <row r="70" spans="11:20" ht="18" customHeight="1">
      <c r="K70" s="724">
        <v>65</v>
      </c>
      <c r="L70" s="725" t="s">
        <v>2071</v>
      </c>
      <c r="M70" s="725" t="s">
        <v>1956</v>
      </c>
      <c r="N70" s="725" t="s">
        <v>273</v>
      </c>
      <c r="O70" s="725" t="s">
        <v>2080</v>
      </c>
      <c r="P70" s="737" t="e">
        <f>COUNTIF('[8]活動記録（多面的機能支払交付金の様式）'!$H$9:$M$28,[8]【選択肢】!K70)</f>
        <v>#VALUE!</v>
      </c>
      <c r="S70" s="769" t="s">
        <v>2081</v>
      </c>
      <c r="T70" s="767"/>
    </row>
    <row r="71" spans="11:20" ht="18" customHeight="1">
      <c r="K71" s="772">
        <v>66</v>
      </c>
      <c r="L71" s="756" t="s">
        <v>2071</v>
      </c>
      <c r="M71" s="756" t="s">
        <v>1956</v>
      </c>
      <c r="N71" s="756" t="s">
        <v>273</v>
      </c>
      <c r="O71" s="756" t="s">
        <v>2082</v>
      </c>
      <c r="P71" s="737" t="e">
        <f>COUNTIF('[8]活動記録（多面的機能支払交付金の様式）'!$H$9:$M$28,[8]【選択肢】!K71)</f>
        <v>#VALUE!</v>
      </c>
      <c r="S71" s="770" t="s">
        <v>2083</v>
      </c>
      <c r="T71" s="767"/>
    </row>
    <row r="72" spans="11:20">
      <c r="K72" s="773">
        <v>67</v>
      </c>
      <c r="L72" s="773" t="s">
        <v>2084</v>
      </c>
      <c r="M72" s="773" t="s">
        <v>2085</v>
      </c>
      <c r="N72" s="773" t="s">
        <v>1910</v>
      </c>
      <c r="O72" s="773" t="s">
        <v>2086</v>
      </c>
      <c r="P72" s="773" t="e">
        <f>COUNTIF('[8]活動記録（多面的機能支払交付金の様式）'!$H$9:$M$28,[8]【選択肢】!K72)</f>
        <v>#VALUE!</v>
      </c>
      <c r="S72" s="771"/>
    </row>
    <row r="73" spans="11:20">
      <c r="K73" s="774">
        <v>68</v>
      </c>
      <c r="L73" s="773" t="s">
        <v>2084</v>
      </c>
      <c r="M73" s="774" t="s">
        <v>2087</v>
      </c>
      <c r="N73" s="774" t="s">
        <v>2088</v>
      </c>
      <c r="O73" s="774" t="s">
        <v>2089</v>
      </c>
      <c r="P73" s="773" t="e">
        <f>COUNTIF('[8]活動記録（多面的機能支払交付金の様式）'!$H$9:$M$28,[8]【選択肢】!K73)</f>
        <v>#VALUE!</v>
      </c>
    </row>
    <row r="74" spans="11:20">
      <c r="K74" s="774">
        <v>69</v>
      </c>
      <c r="L74" s="773" t="s">
        <v>2084</v>
      </c>
      <c r="M74" s="773" t="s">
        <v>2087</v>
      </c>
      <c r="N74" s="773" t="s">
        <v>2090</v>
      </c>
      <c r="O74" s="774" t="s">
        <v>2091</v>
      </c>
      <c r="P74" s="773" t="e">
        <f>COUNTIF('[8]活動記録（多面的機能支払交付金の様式）'!$H$9:$M$28,[8]【選択肢】!K74)</f>
        <v>#VALUE!</v>
      </c>
    </row>
    <row r="75" spans="11:20">
      <c r="K75" s="774">
        <v>70</v>
      </c>
      <c r="L75" s="773" t="s">
        <v>2084</v>
      </c>
      <c r="M75" s="774" t="s">
        <v>1910</v>
      </c>
      <c r="N75" s="774" t="s">
        <v>1910</v>
      </c>
      <c r="O75" s="774" t="s">
        <v>2092</v>
      </c>
      <c r="P75" s="773" t="e">
        <f>COUNTIF('[8]活動記録（多面的機能支払交付金の様式）'!$H$9:$M$28,[8]【選択肢】!K75)</f>
        <v>#VALUE!</v>
      </c>
    </row>
    <row r="76" spans="11:20">
      <c r="K76" s="774">
        <v>71</v>
      </c>
      <c r="L76" s="773" t="s">
        <v>2084</v>
      </c>
      <c r="M76" s="773" t="s">
        <v>1910</v>
      </c>
      <c r="N76" s="773" t="s">
        <v>2090</v>
      </c>
      <c r="O76" s="774" t="s">
        <v>2093</v>
      </c>
      <c r="P76" s="773" t="e">
        <f>COUNTIF('[8]活動記録（多面的機能支払交付金の様式）'!$H$9:$M$28,[8]【選択肢】!K76)</f>
        <v>#VALUE!</v>
      </c>
    </row>
    <row r="77" spans="11:20">
      <c r="K77" s="774">
        <v>72</v>
      </c>
      <c r="L77" s="773" t="s">
        <v>2084</v>
      </c>
      <c r="M77" s="774" t="s">
        <v>2087</v>
      </c>
      <c r="N77" s="774" t="s">
        <v>2087</v>
      </c>
      <c r="O77" s="774" t="s">
        <v>2094</v>
      </c>
      <c r="P77" s="773" t="e">
        <f>COUNTIF('[8]活動記録（多面的機能支払交付金の様式）'!$H$9:$M$28,[8]【選択肢】!K77)</f>
        <v>#VALUE!</v>
      </c>
    </row>
    <row r="78" spans="11:20">
      <c r="K78" s="774">
        <v>73</v>
      </c>
      <c r="L78" s="773" t="s">
        <v>2084</v>
      </c>
      <c r="M78" s="773" t="s">
        <v>2090</v>
      </c>
      <c r="N78" s="773" t="s">
        <v>2087</v>
      </c>
      <c r="O78" s="774" t="s">
        <v>2095</v>
      </c>
      <c r="P78" s="773" t="e">
        <f>COUNTIF('[8]活動記録（多面的機能支払交付金の様式）'!$H$9:$M$28,[8]【選択肢】!K78)</f>
        <v>#VALUE!</v>
      </c>
    </row>
    <row r="79" spans="11:20">
      <c r="K79" s="774">
        <v>74</v>
      </c>
      <c r="L79" s="773" t="s">
        <v>2084</v>
      </c>
      <c r="M79" s="774" t="s">
        <v>2090</v>
      </c>
      <c r="N79" s="774" t="s">
        <v>2087</v>
      </c>
      <c r="O79" s="774" t="s">
        <v>2096</v>
      </c>
      <c r="P79" s="773" t="e">
        <f>COUNTIF('[8]活動記録（多面的機能支払交付金の様式）'!$H$9:$M$28,[8]【選択肢】!K79)</f>
        <v>#VALUE!</v>
      </c>
    </row>
    <row r="80" spans="11:20">
      <c r="K80" s="774">
        <v>75</v>
      </c>
      <c r="L80" s="773" t="s">
        <v>2084</v>
      </c>
      <c r="M80" s="773" t="s">
        <v>2090</v>
      </c>
      <c r="N80" s="773" t="s">
        <v>2088</v>
      </c>
      <c r="O80" s="774" t="s">
        <v>2097</v>
      </c>
      <c r="P80" s="773" t="e">
        <f>COUNTIF('[8]活動記録（多面的機能支払交付金の様式）'!$H$9:$M$28,[8]【選択肢】!K80)</f>
        <v>#VALUE!</v>
      </c>
    </row>
    <row r="81" spans="11:16">
      <c r="K81" s="774">
        <v>76</v>
      </c>
      <c r="L81" s="773" t="s">
        <v>2084</v>
      </c>
      <c r="M81" s="774" t="s">
        <v>2087</v>
      </c>
      <c r="N81" s="774" t="s">
        <v>2087</v>
      </c>
      <c r="O81" s="774" t="s">
        <v>2098</v>
      </c>
      <c r="P81" s="773" t="e">
        <f>COUNTIF('[8]活動記録（多面的機能支払交付金の様式）'!$H$9:$M$28,[8]【選択肢】!K81)</f>
        <v>#VALUE!</v>
      </c>
    </row>
    <row r="82" spans="11:16">
      <c r="K82" s="774">
        <v>77</v>
      </c>
      <c r="L82" s="773" t="s">
        <v>2084</v>
      </c>
      <c r="M82" s="773" t="s">
        <v>2087</v>
      </c>
      <c r="N82" s="773" t="s">
        <v>2087</v>
      </c>
      <c r="O82" s="774" t="s">
        <v>2099</v>
      </c>
      <c r="P82" s="773" t="e">
        <f>COUNTIF('[8]活動記録（多面的機能支払交付金の様式）'!$H$9:$M$28,[8]【選択肢】!K82)</f>
        <v>#VALUE!</v>
      </c>
    </row>
    <row r="83" spans="11:16">
      <c r="K83" s="774">
        <v>78</v>
      </c>
      <c r="L83" s="773" t="s">
        <v>2084</v>
      </c>
      <c r="M83" s="774" t="s">
        <v>2087</v>
      </c>
      <c r="N83" s="774" t="s">
        <v>1910</v>
      </c>
      <c r="O83" s="774" t="s">
        <v>1951</v>
      </c>
      <c r="P83" s="773" t="e">
        <f>COUNTIF('[8]活動記録（多面的機能支払交付金の様式）'!$H$9:$M$28,[8]【選択肢】!K83)</f>
        <v>#VALUE!</v>
      </c>
    </row>
    <row r="84" spans="11:16">
      <c r="K84" s="774">
        <v>79</v>
      </c>
      <c r="L84" s="773" t="s">
        <v>2084</v>
      </c>
      <c r="M84" s="773" t="s">
        <v>2090</v>
      </c>
      <c r="N84" s="773" t="s">
        <v>2088</v>
      </c>
      <c r="O84" s="774" t="s">
        <v>1455</v>
      </c>
      <c r="P84" s="773" t="e">
        <f>COUNTIF('[8]活動記録（多面的機能支払交付金の様式）'!$H$9:$M$28,[8]【選択肢】!K84)</f>
        <v>#VALUE!</v>
      </c>
    </row>
    <row r="85" spans="11:16">
      <c r="K85" s="774">
        <v>80</v>
      </c>
      <c r="L85" s="773" t="s">
        <v>2084</v>
      </c>
      <c r="M85" s="774" t="s">
        <v>2090</v>
      </c>
      <c r="N85" s="774" t="s">
        <v>1910</v>
      </c>
      <c r="O85" s="774" t="s">
        <v>2100</v>
      </c>
      <c r="P85" s="773" t="e">
        <f>COUNTIF('[8]活動記録（多面的機能支払交付金の様式）'!$H$9:$M$28,[8]【選択肢】!K85)</f>
        <v>#VALUE!</v>
      </c>
    </row>
    <row r="86" spans="11:16">
      <c r="K86" s="775"/>
      <c r="L86" s="775"/>
      <c r="M86" s="775" t="s">
        <v>2101</v>
      </c>
      <c r="N86" s="775"/>
      <c r="O86" s="775"/>
      <c r="P86" s="77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 right="0.7" top="0.75" bottom="0.75" header="0.3" footer="0.3"/>
  <pageSetup paperSize="9" scale="3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heetViews>
  <sheetFormatPr defaultRowHeight="13.5"/>
  <cols>
    <col min="1" max="51" width="2.625" style="65" customWidth="1"/>
  </cols>
  <sheetData>
    <row r="1" spans="1:51" s="62" customFormat="1" ht="15.6" customHeight="1">
      <c r="A1" s="67" t="s">
        <v>1057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51" s="62" customFormat="1"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51" s="65" customFormat="1" ht="15.6" customHeight="1">
      <c r="Z3" s="1784"/>
      <c r="AA3" s="1784"/>
      <c r="AB3" s="1784"/>
      <c r="AC3" s="1784"/>
      <c r="AD3" s="1784"/>
      <c r="AE3" s="1784"/>
    </row>
    <row r="4" spans="1:51" ht="15.6" customHeight="1">
      <c r="Z4" s="592" t="s">
        <v>1058</v>
      </c>
      <c r="AA4" s="592"/>
      <c r="AB4" s="592"/>
      <c r="AC4" s="592"/>
      <c r="AD4" s="592"/>
      <c r="AE4" s="592"/>
      <c r="AG4" s="244"/>
    </row>
    <row r="5" spans="1:51" ht="15.6" customHeight="1">
      <c r="Z5" s="244"/>
      <c r="AA5" s="244"/>
      <c r="AB5" s="244"/>
      <c r="AC5" s="244"/>
      <c r="AD5" s="244"/>
      <c r="AE5" s="244"/>
      <c r="AG5" s="244"/>
    </row>
    <row r="6" spans="1:51" ht="15.6" customHeight="1">
      <c r="B6" s="65" t="s">
        <v>1056</v>
      </c>
      <c r="M6" s="240"/>
    </row>
    <row r="7" spans="1:51" ht="15.6" customHeight="1"/>
    <row r="8" spans="1:51" ht="15.6" customHeight="1">
      <c r="V8"/>
      <c r="Z8" s="1777" t="str">
        <f>はじめに!D5</f>
        <v>〇〇集落協定</v>
      </c>
      <c r="AA8" s="1777"/>
      <c r="AB8" s="1777"/>
      <c r="AC8" s="1777"/>
      <c r="AD8" s="1777"/>
      <c r="AE8" s="1777"/>
      <c r="AY8"/>
    </row>
    <row r="9" spans="1:51" ht="15.6" customHeight="1">
      <c r="Z9" s="1777" t="str">
        <f>はじめに!D6</f>
        <v>〇〇　〇〇</v>
      </c>
      <c r="AA9" s="1777"/>
      <c r="AB9" s="1777"/>
      <c r="AC9" s="1777"/>
      <c r="AD9" s="1777"/>
      <c r="AE9" s="1777"/>
    </row>
    <row r="10" spans="1:51" ht="15.6" customHeight="1">
      <c r="W10" s="244"/>
      <c r="X10" s="244"/>
      <c r="Y10" s="244"/>
      <c r="Z10" s="244"/>
      <c r="AA10" s="244"/>
      <c r="AB10" s="244"/>
      <c r="AC10" s="244"/>
      <c r="AD10" s="244"/>
      <c r="AE10" s="244"/>
      <c r="AF10" s="244"/>
    </row>
    <row r="11" spans="1:51" ht="15.6" customHeight="1"/>
    <row r="12" spans="1:51" ht="15.6" customHeight="1">
      <c r="A12" s="1461" t="s">
        <v>1060</v>
      </c>
      <c r="B12" s="1461"/>
      <c r="C12" s="1461"/>
      <c r="D12" s="1461"/>
      <c r="E12" s="1461"/>
      <c r="F12" s="1461"/>
      <c r="G12" s="1461"/>
      <c r="H12" s="1461"/>
      <c r="I12" s="1461"/>
      <c r="J12" s="1461"/>
      <c r="K12" s="1461"/>
      <c r="L12" s="1461"/>
      <c r="M12" s="1461"/>
      <c r="N12" s="1461"/>
      <c r="O12" s="1461"/>
      <c r="P12" s="1461"/>
      <c r="Q12" s="1461"/>
      <c r="R12" s="1461"/>
      <c r="S12" s="1461"/>
      <c r="T12" s="1461"/>
      <c r="U12" s="1461"/>
      <c r="V12" s="1461"/>
      <c r="W12" s="1461"/>
      <c r="X12" s="1461"/>
      <c r="Y12" s="1461"/>
      <c r="Z12" s="1461"/>
      <c r="AA12" s="1461"/>
      <c r="AB12" s="1461"/>
      <c r="AC12" s="1461"/>
      <c r="AD12" s="1461"/>
      <c r="AE12" s="1461"/>
      <c r="AF12" s="1461"/>
      <c r="AG12" s="1461"/>
    </row>
    <row r="13" spans="1:51" ht="15.6" customHeight="1"/>
    <row r="14" spans="1:51" ht="15.6" customHeight="1">
      <c r="A14" s="1513" t="s">
        <v>2105</v>
      </c>
      <c r="B14" s="1513"/>
      <c r="C14" s="1513"/>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row>
    <row r="15" spans="1:51" ht="15.6" customHeight="1">
      <c r="A15" s="1513"/>
      <c r="B15" s="1513"/>
      <c r="C15" s="1513"/>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row>
    <row r="16" spans="1:51" ht="15.6" customHeight="1">
      <c r="A16" s="1513"/>
      <c r="B16" s="1513"/>
      <c r="C16" s="1513"/>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row>
    <row r="17" spans="1:31" ht="15.6" customHeight="1">
      <c r="A17" s="1513"/>
      <c r="B17" s="1513"/>
      <c r="C17" s="1513"/>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row>
    <row r="18" spans="1:31" ht="15.6" customHeight="1"/>
    <row r="19" spans="1:31" ht="15.6" customHeight="1">
      <c r="P19" s="65" t="s">
        <v>1061</v>
      </c>
    </row>
    <row r="20" spans="1:31" ht="15.6" customHeight="1"/>
    <row r="21" spans="1:31" ht="15.6" customHeight="1">
      <c r="C21" s="1778" t="s">
        <v>1062</v>
      </c>
      <c r="D21" s="1779"/>
      <c r="E21" s="1779"/>
      <c r="F21" s="1779"/>
      <c r="G21" s="1779"/>
      <c r="H21" s="1779"/>
      <c r="I21" s="1780"/>
      <c r="J21" s="1781"/>
      <c r="K21" s="1782"/>
      <c r="L21" s="1782"/>
      <c r="M21" s="1782"/>
      <c r="N21" s="1782"/>
      <c r="O21" s="1782"/>
      <c r="P21" s="1782"/>
      <c r="Q21" s="1782"/>
      <c r="R21" s="1782"/>
      <c r="S21" s="1782"/>
      <c r="T21" s="1782"/>
      <c r="U21" s="1782"/>
      <c r="V21" s="1782"/>
      <c r="W21" s="1782"/>
      <c r="X21" s="1782"/>
      <c r="Y21" s="1782"/>
      <c r="Z21" s="1782"/>
      <c r="AA21" s="1782"/>
      <c r="AB21" s="1782"/>
      <c r="AC21" s="1782"/>
      <c r="AD21" s="1783"/>
    </row>
    <row r="22" spans="1:31" ht="15.6" customHeight="1">
      <c r="C22" s="1778" t="s">
        <v>1063</v>
      </c>
      <c r="D22" s="1779"/>
      <c r="E22" s="1779"/>
      <c r="F22" s="1779"/>
      <c r="G22" s="1779"/>
      <c r="H22" s="1779"/>
      <c r="I22" s="1780"/>
      <c r="J22" s="1781"/>
      <c r="K22" s="1782"/>
      <c r="L22" s="1782"/>
      <c r="M22" s="1782"/>
      <c r="N22" s="1782"/>
      <c r="O22" s="1782"/>
      <c r="P22" s="1782"/>
      <c r="Q22" s="1782"/>
      <c r="R22" s="1782"/>
      <c r="S22" s="1782"/>
      <c r="T22" s="1782"/>
      <c r="U22" s="1782"/>
      <c r="V22" s="1782"/>
      <c r="W22" s="1782"/>
      <c r="X22" s="1782"/>
      <c r="Y22" s="1782"/>
      <c r="Z22" s="1782"/>
      <c r="AA22" s="1782"/>
      <c r="AB22" s="1782"/>
      <c r="AC22" s="1782"/>
      <c r="AD22" s="1783"/>
    </row>
    <row r="23" spans="1:31" ht="15.6" customHeight="1">
      <c r="C23" s="1778" t="s">
        <v>1064</v>
      </c>
      <c r="D23" s="1779"/>
      <c r="E23" s="1779"/>
      <c r="F23" s="1779"/>
      <c r="G23" s="1779"/>
      <c r="H23" s="1779"/>
      <c r="I23" s="1780"/>
      <c r="J23" s="1781"/>
      <c r="K23" s="1782"/>
      <c r="L23" s="1782"/>
      <c r="M23" s="1782"/>
      <c r="N23" s="1782"/>
      <c r="O23" s="1782"/>
      <c r="P23" s="1782"/>
      <c r="Q23" s="1782"/>
      <c r="R23" s="1782"/>
      <c r="S23" s="1782"/>
      <c r="T23" s="1782"/>
      <c r="U23" s="1782"/>
      <c r="V23" s="1782"/>
      <c r="W23" s="1782"/>
      <c r="X23" s="1782"/>
      <c r="Y23" s="1782"/>
      <c r="Z23" s="1782"/>
      <c r="AA23" s="1782"/>
      <c r="AB23" s="1782"/>
      <c r="AC23" s="1782"/>
      <c r="AD23" s="1783"/>
    </row>
    <row r="24" spans="1:31" ht="15.6" customHeight="1">
      <c r="C24" s="1778" t="s">
        <v>1065</v>
      </c>
      <c r="D24" s="1779"/>
      <c r="E24" s="1779"/>
      <c r="F24" s="1779"/>
      <c r="G24" s="1779"/>
      <c r="H24" s="1779"/>
      <c r="I24" s="1780"/>
      <c r="J24" s="1781"/>
      <c r="K24" s="1782"/>
      <c r="L24" s="1782"/>
      <c r="M24" s="1782"/>
      <c r="N24" s="1782"/>
      <c r="O24" s="1782"/>
      <c r="P24" s="1782"/>
      <c r="Q24" s="1782"/>
      <c r="R24" s="1782"/>
      <c r="S24" s="1782"/>
      <c r="T24" s="1782"/>
      <c r="U24" s="1782"/>
      <c r="V24" s="1782"/>
      <c r="W24" s="1782"/>
      <c r="X24" s="1782"/>
      <c r="Y24" s="1782"/>
      <c r="Z24" s="1782"/>
      <c r="AA24" s="1782"/>
      <c r="AB24" s="1782"/>
      <c r="AC24" s="1782"/>
      <c r="AD24" s="1783"/>
    </row>
    <row r="25" spans="1:31" ht="15.6" customHeight="1">
      <c r="C25" s="1778" t="s">
        <v>1066</v>
      </c>
      <c r="D25" s="1779"/>
      <c r="E25" s="1779"/>
      <c r="F25" s="1779"/>
      <c r="G25" s="1779"/>
      <c r="H25" s="1779"/>
      <c r="I25" s="1780"/>
      <c r="J25" s="1781"/>
      <c r="K25" s="1782"/>
      <c r="L25" s="1782"/>
      <c r="M25" s="1782"/>
      <c r="N25" s="1782"/>
      <c r="O25" s="1782"/>
      <c r="P25" s="1782"/>
      <c r="Q25" s="1782"/>
      <c r="R25" s="1782"/>
      <c r="S25" s="1782"/>
      <c r="T25" s="1782"/>
      <c r="U25" s="1782"/>
      <c r="V25" s="1782"/>
      <c r="W25" s="1782"/>
      <c r="X25" s="1782"/>
      <c r="Y25" s="1782"/>
      <c r="Z25" s="1782"/>
      <c r="AA25" s="1782"/>
      <c r="AB25" s="1782"/>
      <c r="AC25" s="1782"/>
      <c r="AD25" s="1783"/>
    </row>
    <row r="26" spans="1:31" ht="15.6" customHeight="1">
      <c r="C26" s="1776" t="s">
        <v>1067</v>
      </c>
      <c r="D26" s="1776"/>
      <c r="E26" s="1776"/>
      <c r="F26" s="1776"/>
      <c r="G26" s="1776"/>
      <c r="H26" s="1776"/>
      <c r="I26" s="1776"/>
      <c r="J26" s="1776"/>
      <c r="K26" s="1776"/>
      <c r="L26" s="1776"/>
      <c r="M26" s="1776"/>
      <c r="N26" s="1776"/>
      <c r="O26" s="1776"/>
      <c r="P26" s="1776"/>
      <c r="Q26" s="1776"/>
      <c r="R26" s="1776"/>
      <c r="S26" s="1776"/>
      <c r="T26" s="1776"/>
      <c r="U26" s="1776"/>
      <c r="V26" s="1776"/>
      <c r="W26" s="1776"/>
      <c r="X26" s="1776"/>
    </row>
    <row r="27" spans="1:31" ht="15.6" customHeight="1">
      <c r="C27" s="1461" t="s">
        <v>1068</v>
      </c>
      <c r="D27" s="1461"/>
      <c r="E27" s="1461"/>
      <c r="F27" s="1461"/>
      <c r="G27" s="1461"/>
      <c r="H27" s="1461"/>
      <c r="I27" s="1461"/>
      <c r="J27" s="1461"/>
      <c r="K27" s="1461"/>
      <c r="L27" s="1461"/>
      <c r="M27" s="1461"/>
      <c r="N27" s="1461"/>
      <c r="O27" s="1461"/>
      <c r="P27" s="1461"/>
      <c r="Q27" s="1461"/>
      <c r="R27" s="1461"/>
      <c r="S27" s="1461"/>
      <c r="T27" s="1461"/>
      <c r="U27" s="1461"/>
      <c r="V27" s="1461"/>
      <c r="W27" s="1461"/>
      <c r="X27" s="1461"/>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85" zoomScaleNormal="85" zoomScaleSheetLayoutView="85" workbookViewId="0">
      <pane xSplit="6" ySplit="12" topLeftCell="G15" activePane="bottomRight" state="frozen"/>
      <selection pane="topRight" sqref="A1:XFD1"/>
      <selection pane="bottomLeft" sqref="A1:XFD1"/>
      <selection pane="bottomRight" activeCell="A3" sqref="A3"/>
    </sheetView>
  </sheetViews>
  <sheetFormatPr defaultColWidth="10" defaultRowHeight="13.5"/>
  <cols>
    <col min="1" max="1" width="13.375" style="470" customWidth="1"/>
    <col min="2" max="3" width="10" customWidth="1"/>
    <col min="4" max="4" width="10" style="470" customWidth="1"/>
    <col min="5" max="5" width="15" customWidth="1"/>
    <col min="6" max="6" width="5.75" customWidth="1"/>
    <col min="7" max="7" width="4.375" customWidth="1"/>
    <col min="8" max="8" width="8" customWidth="1"/>
    <col min="9" max="9" width="5.25" customWidth="1"/>
    <col min="10" max="10" width="7.625" customWidth="1"/>
    <col min="11" max="13" width="5.25" customWidth="1"/>
    <col min="14" max="15" width="5.625" style="500" customWidth="1"/>
    <col min="16" max="19" width="5.25" customWidth="1"/>
    <col min="20" max="20" width="6.375" customWidth="1"/>
    <col min="21" max="30" width="5.37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500"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500" customWidth="1"/>
    <col min="153" max="153" width="28" style="500" customWidth="1"/>
    <col min="154" max="155" width="6.375" style="500" customWidth="1"/>
    <col min="156" max="156" width="28" style="500" customWidth="1"/>
    <col min="157" max="158" width="6.375" style="500" customWidth="1"/>
    <col min="159" max="159" width="28" style="500" customWidth="1"/>
    <col min="160" max="161" width="6.375" style="500" customWidth="1"/>
    <col min="162" max="166" width="7.875" customWidth="1"/>
    <col min="167" max="167" width="7.875" style="500" customWidth="1"/>
    <col min="168" max="168" width="6.125" style="500" customWidth="1"/>
    <col min="169" max="176" width="6.25" style="500" customWidth="1"/>
    <col min="177" max="177" width="9.125" style="500" customWidth="1"/>
    <col min="178" max="188" width="6.25" style="500" customWidth="1"/>
    <col min="189" max="189" width="10" style="500" customWidth="1"/>
    <col min="190" max="192" width="7.875" customWidth="1"/>
    <col min="193" max="193" width="7.875" style="500" customWidth="1"/>
    <col min="194" max="195" width="7.875" customWidth="1"/>
    <col min="196" max="202" width="7.875" style="500" customWidth="1"/>
    <col min="203" max="203" width="24.25" style="500" customWidth="1"/>
    <col min="204" max="205" width="6.375" style="500" customWidth="1"/>
    <col min="206" max="208" width="7.875" customWidth="1"/>
    <col min="209" max="209" width="7.875" style="500" customWidth="1"/>
    <col min="210" max="210" width="24.25" style="500" customWidth="1"/>
    <col min="211" max="212" width="6.75" style="500" customWidth="1"/>
    <col min="213" max="215" width="7.875" customWidth="1"/>
    <col min="216" max="216" width="7.875" style="500" customWidth="1"/>
    <col min="217" max="217" width="24.25" style="500" customWidth="1"/>
    <col min="218" max="219" width="6.75" style="500" customWidth="1"/>
    <col min="220" max="221" width="6.75" customWidth="1"/>
    <col min="222" max="222" width="10.875" customWidth="1"/>
    <col min="223" max="223" width="10.875" style="500" customWidth="1"/>
    <col min="224" max="224" width="11.375" customWidth="1"/>
    <col min="225" max="230" width="11" customWidth="1"/>
    <col min="231" max="243" width="8" customWidth="1"/>
    <col min="244" max="244" width="8" style="500" customWidth="1"/>
    <col min="246" max="257" width="7.875" customWidth="1"/>
    <col min="258" max="258" width="6.25" customWidth="1"/>
    <col min="259" max="259" width="6.75" customWidth="1"/>
    <col min="260" max="260" width="6.37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375" customWidth="1"/>
    <col min="316" max="391" width="8" customWidth="1"/>
    <col min="392" max="392" width="23.75" customWidth="1"/>
    <col min="393" max="395" width="8" customWidth="1"/>
  </cols>
  <sheetData>
    <row r="1" spans="1:392" hidden="1">
      <c r="A1" s="523" t="s">
        <v>1069</v>
      </c>
      <c r="B1" s="524" t="s">
        <v>1070</v>
      </c>
      <c r="C1" s="524" t="s">
        <v>1071</v>
      </c>
      <c r="D1" s="524" t="s">
        <v>1072</v>
      </c>
      <c r="E1" s="524" t="s">
        <v>1073</v>
      </c>
      <c r="F1" s="524" t="s">
        <v>1074</v>
      </c>
      <c r="G1" s="524" t="s">
        <v>1075</v>
      </c>
      <c r="H1" s="524" t="s">
        <v>1076</v>
      </c>
      <c r="I1" s="524" t="s">
        <v>1077</v>
      </c>
      <c r="J1" s="524" t="s">
        <v>1078</v>
      </c>
      <c r="K1" s="524" t="s">
        <v>1079</v>
      </c>
      <c r="L1" s="524" t="s">
        <v>1080</v>
      </c>
      <c r="M1" s="524" t="s">
        <v>1081</v>
      </c>
      <c r="N1" s="524" t="s">
        <v>1082</v>
      </c>
      <c r="O1" s="524" t="s">
        <v>1083</v>
      </c>
      <c r="P1" s="524" t="s">
        <v>1084</v>
      </c>
      <c r="Q1" s="524" t="s">
        <v>1085</v>
      </c>
      <c r="R1" s="524" t="s">
        <v>1086</v>
      </c>
      <c r="S1" s="524" t="s">
        <v>1087</v>
      </c>
      <c r="T1" s="524" t="s">
        <v>1088</v>
      </c>
      <c r="U1" s="524" t="s">
        <v>1089</v>
      </c>
      <c r="V1" s="524" t="s">
        <v>1090</v>
      </c>
      <c r="W1" s="524" t="s">
        <v>1091</v>
      </c>
      <c r="X1" s="524" t="s">
        <v>1092</v>
      </c>
      <c r="Y1" s="524" t="s">
        <v>1093</v>
      </c>
      <c r="Z1" s="524" t="s">
        <v>1094</v>
      </c>
      <c r="AA1" s="524" t="s">
        <v>1095</v>
      </c>
      <c r="AB1" s="524" t="s">
        <v>1096</v>
      </c>
      <c r="AC1" s="524" t="s">
        <v>1097</v>
      </c>
      <c r="AD1" s="524" t="s">
        <v>1098</v>
      </c>
      <c r="AE1" s="524" t="s">
        <v>1099</v>
      </c>
      <c r="AF1" s="524" t="s">
        <v>1100</v>
      </c>
      <c r="AG1" s="524" t="s">
        <v>1101</v>
      </c>
      <c r="AH1" s="524" t="s">
        <v>1102</v>
      </c>
      <c r="AI1" s="524" t="s">
        <v>1103</v>
      </c>
      <c r="AJ1" s="524" t="s">
        <v>1104</v>
      </c>
      <c r="AK1" s="524" t="s">
        <v>1105</v>
      </c>
      <c r="AL1" s="524" t="s">
        <v>1106</v>
      </c>
      <c r="AM1" s="524" t="s">
        <v>1107</v>
      </c>
      <c r="AN1" s="524" t="s">
        <v>1108</v>
      </c>
      <c r="AO1" s="524" t="s">
        <v>1109</v>
      </c>
      <c r="AP1" s="524" t="s">
        <v>1110</v>
      </c>
      <c r="AQ1" s="524" t="s">
        <v>1111</v>
      </c>
      <c r="AR1" s="524" t="s">
        <v>1112</v>
      </c>
      <c r="AS1" s="524" t="s">
        <v>1113</v>
      </c>
      <c r="AT1" s="524" t="s">
        <v>1114</v>
      </c>
      <c r="AU1" s="524" t="s">
        <v>1115</v>
      </c>
      <c r="AV1" s="524" t="s">
        <v>1116</v>
      </c>
      <c r="AW1" s="524" t="s">
        <v>1117</v>
      </c>
      <c r="AX1" s="524" t="s">
        <v>1118</v>
      </c>
      <c r="AY1" s="524" t="s">
        <v>1119</v>
      </c>
      <c r="AZ1" s="524" t="s">
        <v>1120</v>
      </c>
      <c r="BA1" s="524" t="s">
        <v>1121</v>
      </c>
      <c r="BB1" s="524" t="s">
        <v>1122</v>
      </c>
      <c r="BC1" s="524" t="s">
        <v>1123</v>
      </c>
      <c r="BD1" s="524" t="s">
        <v>1124</v>
      </c>
      <c r="BE1" s="524" t="s">
        <v>1125</v>
      </c>
      <c r="BF1" s="524" t="s">
        <v>1126</v>
      </c>
      <c r="BG1" s="524" t="s">
        <v>1127</v>
      </c>
      <c r="BH1" s="524" t="s">
        <v>1128</v>
      </c>
      <c r="BI1" s="524" t="s">
        <v>1129</v>
      </c>
      <c r="BJ1" s="524" t="s">
        <v>1130</v>
      </c>
      <c r="BK1" s="524" t="s">
        <v>1131</v>
      </c>
      <c r="BL1" s="524" t="s">
        <v>1132</v>
      </c>
      <c r="BM1" s="524" t="s">
        <v>1133</v>
      </c>
      <c r="BN1" s="524" t="s">
        <v>1134</v>
      </c>
      <c r="BO1" s="524" t="s">
        <v>1135</v>
      </c>
      <c r="BP1" s="524" t="s">
        <v>1136</v>
      </c>
      <c r="BQ1" s="524" t="s">
        <v>1137</v>
      </c>
      <c r="BR1" s="524" t="s">
        <v>1138</v>
      </c>
      <c r="BS1" s="524" t="s">
        <v>1139</v>
      </c>
      <c r="BT1" s="524" t="s">
        <v>1140</v>
      </c>
      <c r="BU1" s="524" t="s">
        <v>1141</v>
      </c>
      <c r="BV1" s="524" t="s">
        <v>1142</v>
      </c>
      <c r="BW1" s="524" t="s">
        <v>1143</v>
      </c>
      <c r="BX1" s="524" t="s">
        <v>1144</v>
      </c>
      <c r="BY1" s="524" t="s">
        <v>1145</v>
      </c>
      <c r="BZ1" s="524" t="s">
        <v>1146</v>
      </c>
      <c r="CA1" s="524" t="s">
        <v>1147</v>
      </c>
      <c r="CB1" s="524" t="s">
        <v>1148</v>
      </c>
      <c r="CC1" s="524" t="s">
        <v>1149</v>
      </c>
      <c r="CD1" s="524" t="s">
        <v>1150</v>
      </c>
      <c r="CE1" s="524" t="s">
        <v>1151</v>
      </c>
      <c r="CF1" s="524" t="s">
        <v>1152</v>
      </c>
      <c r="CG1" s="524" t="s">
        <v>1153</v>
      </c>
      <c r="CH1" s="524" t="s">
        <v>1154</v>
      </c>
      <c r="CI1" s="524" t="s">
        <v>1155</v>
      </c>
      <c r="CJ1" s="524" t="s">
        <v>1156</v>
      </c>
      <c r="CK1" s="524" t="s">
        <v>1157</v>
      </c>
      <c r="CL1" s="524" t="s">
        <v>1158</v>
      </c>
      <c r="CM1" s="524" t="s">
        <v>1159</v>
      </c>
      <c r="CN1" s="524" t="s">
        <v>1160</v>
      </c>
      <c r="CO1" s="524" t="s">
        <v>1161</v>
      </c>
      <c r="CP1" s="524" t="s">
        <v>1162</v>
      </c>
      <c r="CQ1" s="524" t="s">
        <v>1163</v>
      </c>
      <c r="CR1" s="524" t="s">
        <v>1164</v>
      </c>
      <c r="CS1" s="524" t="s">
        <v>1165</v>
      </c>
      <c r="CT1" s="524" t="s">
        <v>1166</v>
      </c>
      <c r="CU1" s="524" t="s">
        <v>1167</v>
      </c>
      <c r="CV1" s="524" t="s">
        <v>1168</v>
      </c>
      <c r="CW1" s="524" t="s">
        <v>1169</v>
      </c>
      <c r="CX1" s="524" t="s">
        <v>1170</v>
      </c>
      <c r="CY1" s="524" t="s">
        <v>1171</v>
      </c>
      <c r="CZ1" s="524" t="s">
        <v>1172</v>
      </c>
      <c r="DA1" s="524" t="s">
        <v>1173</v>
      </c>
      <c r="DB1" s="524" t="s">
        <v>1174</v>
      </c>
      <c r="DC1" s="524" t="s">
        <v>1175</v>
      </c>
      <c r="DD1" s="524" t="s">
        <v>1176</v>
      </c>
      <c r="DE1" s="524" t="s">
        <v>1177</v>
      </c>
      <c r="DF1" s="524" t="s">
        <v>1178</v>
      </c>
      <c r="DG1" s="524" t="s">
        <v>1179</v>
      </c>
      <c r="DH1" s="524" t="s">
        <v>1180</v>
      </c>
      <c r="DI1" s="524" t="s">
        <v>1181</v>
      </c>
      <c r="DJ1" s="524" t="s">
        <v>1182</v>
      </c>
      <c r="DK1" s="524" t="s">
        <v>1183</v>
      </c>
      <c r="DL1" s="524" t="s">
        <v>1184</v>
      </c>
      <c r="DM1" s="524" t="s">
        <v>1185</v>
      </c>
      <c r="DN1" s="524" t="s">
        <v>1186</v>
      </c>
      <c r="DO1" s="524" t="s">
        <v>1187</v>
      </c>
      <c r="DP1" s="524" t="s">
        <v>1188</v>
      </c>
      <c r="DQ1" s="524" t="s">
        <v>1189</v>
      </c>
      <c r="DR1" s="524" t="s">
        <v>1190</v>
      </c>
      <c r="DS1" s="524" t="s">
        <v>1191</v>
      </c>
      <c r="DT1" s="524" t="s">
        <v>1192</v>
      </c>
      <c r="DU1" s="524" t="s">
        <v>1193</v>
      </c>
      <c r="DV1" s="524" t="s">
        <v>1194</v>
      </c>
      <c r="DW1" s="524" t="s">
        <v>1195</v>
      </c>
      <c r="DX1" s="524" t="s">
        <v>1196</v>
      </c>
      <c r="DY1" s="524" t="s">
        <v>1197</v>
      </c>
      <c r="DZ1" s="524" t="s">
        <v>1198</v>
      </c>
      <c r="EA1" s="524" t="s">
        <v>1199</v>
      </c>
      <c r="EB1" s="524" t="s">
        <v>1200</v>
      </c>
      <c r="EC1" s="524" t="s">
        <v>1201</v>
      </c>
      <c r="ED1" s="524" t="s">
        <v>1202</v>
      </c>
      <c r="EE1" s="524" t="s">
        <v>1203</v>
      </c>
      <c r="EF1" s="524" t="s">
        <v>1204</v>
      </c>
      <c r="EG1" s="524" t="s">
        <v>1205</v>
      </c>
      <c r="EH1" s="524" t="s">
        <v>1206</v>
      </c>
      <c r="EI1" s="524" t="s">
        <v>1207</v>
      </c>
      <c r="EJ1" s="524" t="s">
        <v>1208</v>
      </c>
      <c r="EK1" s="524" t="s">
        <v>1209</v>
      </c>
      <c r="EL1" s="524" t="s">
        <v>1210</v>
      </c>
      <c r="EM1" s="524" t="s">
        <v>1211</v>
      </c>
      <c r="EN1" s="524" t="s">
        <v>1212</v>
      </c>
      <c r="EO1" s="524" t="s">
        <v>1213</v>
      </c>
      <c r="EP1" s="524" t="s">
        <v>1214</v>
      </c>
      <c r="EQ1" s="524" t="s">
        <v>1215</v>
      </c>
      <c r="ER1" s="524" t="s">
        <v>1216</v>
      </c>
      <c r="ES1" s="524" t="s">
        <v>1217</v>
      </c>
      <c r="ET1" s="524" t="s">
        <v>1218</v>
      </c>
      <c r="EU1" s="524" t="s">
        <v>1219</v>
      </c>
      <c r="EV1" s="524" t="s">
        <v>1220</v>
      </c>
      <c r="EW1" s="524" t="s">
        <v>1221</v>
      </c>
      <c r="EX1" s="524" t="s">
        <v>1222</v>
      </c>
      <c r="EY1" s="524" t="s">
        <v>1223</v>
      </c>
      <c r="EZ1" s="524" t="s">
        <v>1224</v>
      </c>
      <c r="FA1" s="524" t="s">
        <v>1225</v>
      </c>
      <c r="FB1" s="524" t="s">
        <v>1226</v>
      </c>
      <c r="FC1" s="524" t="s">
        <v>1227</v>
      </c>
      <c r="FD1" s="524" t="s">
        <v>1228</v>
      </c>
      <c r="FE1" s="524" t="s">
        <v>1229</v>
      </c>
      <c r="FF1" s="524" t="s">
        <v>1230</v>
      </c>
      <c r="FG1" s="524" t="s">
        <v>1231</v>
      </c>
      <c r="FH1" s="524" t="s">
        <v>1232</v>
      </c>
      <c r="FI1" s="524" t="s">
        <v>1233</v>
      </c>
      <c r="FJ1" s="524" t="s">
        <v>1234</v>
      </c>
      <c r="FK1" s="524" t="s">
        <v>1235</v>
      </c>
      <c r="FL1" s="524" t="s">
        <v>1236</v>
      </c>
      <c r="FM1" s="524" t="s">
        <v>1237</v>
      </c>
      <c r="FN1" s="524" t="s">
        <v>1238</v>
      </c>
      <c r="FO1" s="524" t="s">
        <v>1239</v>
      </c>
      <c r="FP1" s="524" t="s">
        <v>1240</v>
      </c>
      <c r="FQ1" s="524" t="s">
        <v>1241</v>
      </c>
      <c r="FR1" s="524" t="s">
        <v>1242</v>
      </c>
      <c r="FS1" s="524" t="s">
        <v>1243</v>
      </c>
      <c r="FT1" s="524" t="s">
        <v>1244</v>
      </c>
      <c r="FU1" s="524" t="s">
        <v>1245</v>
      </c>
      <c r="FV1" s="524" t="s">
        <v>1246</v>
      </c>
      <c r="FW1" s="524" t="s">
        <v>1247</v>
      </c>
      <c r="FX1" s="524" t="s">
        <v>1248</v>
      </c>
      <c r="FY1" s="524" t="s">
        <v>1249</v>
      </c>
      <c r="FZ1" s="524" t="s">
        <v>1250</v>
      </c>
      <c r="GA1" s="524" t="s">
        <v>1251</v>
      </c>
      <c r="GB1" s="524" t="s">
        <v>1252</v>
      </c>
      <c r="GC1" s="524" t="s">
        <v>1253</v>
      </c>
      <c r="GD1" s="524" t="s">
        <v>1254</v>
      </c>
      <c r="GE1" s="524" t="s">
        <v>1255</v>
      </c>
      <c r="GF1" s="524" t="s">
        <v>1256</v>
      </c>
      <c r="GG1" s="524" t="s">
        <v>1257</v>
      </c>
      <c r="GH1" s="524" t="s">
        <v>1258</v>
      </c>
      <c r="GI1" s="524" t="s">
        <v>1259</v>
      </c>
      <c r="GJ1" s="524" t="s">
        <v>1260</v>
      </c>
      <c r="GK1" s="524" t="s">
        <v>1261</v>
      </c>
      <c r="GL1" s="524" t="s">
        <v>1262</v>
      </c>
      <c r="GM1" s="524" t="s">
        <v>1263</v>
      </c>
      <c r="GN1" s="524" t="s">
        <v>1264</v>
      </c>
      <c r="GO1" s="524" t="s">
        <v>1265</v>
      </c>
      <c r="GP1" s="524" t="s">
        <v>1266</v>
      </c>
      <c r="GQ1" s="524" t="s">
        <v>1267</v>
      </c>
      <c r="GR1" s="524" t="s">
        <v>1268</v>
      </c>
      <c r="GS1" s="524" t="s">
        <v>1269</v>
      </c>
      <c r="GT1" s="524" t="s">
        <v>1270</v>
      </c>
      <c r="GU1" s="524" t="s">
        <v>1271</v>
      </c>
      <c r="GV1" s="524" t="s">
        <v>1272</v>
      </c>
      <c r="GW1" s="524" t="s">
        <v>1273</v>
      </c>
      <c r="GX1" s="524" t="s">
        <v>1274</v>
      </c>
      <c r="GY1" s="524" t="s">
        <v>1275</v>
      </c>
      <c r="GZ1" s="524" t="s">
        <v>1276</v>
      </c>
      <c r="HA1" s="524" t="s">
        <v>1277</v>
      </c>
      <c r="HB1" s="524" t="s">
        <v>1278</v>
      </c>
      <c r="HC1" s="524" t="s">
        <v>1279</v>
      </c>
      <c r="HD1" s="524" t="s">
        <v>1280</v>
      </c>
      <c r="HE1" s="524" t="s">
        <v>1281</v>
      </c>
      <c r="HF1" s="524" t="s">
        <v>1282</v>
      </c>
      <c r="HG1" s="524" t="s">
        <v>1283</v>
      </c>
      <c r="HH1" s="524" t="s">
        <v>1284</v>
      </c>
      <c r="HI1" s="524" t="s">
        <v>1285</v>
      </c>
      <c r="HJ1" s="524" t="s">
        <v>1286</v>
      </c>
      <c r="HK1" s="524" t="s">
        <v>1287</v>
      </c>
      <c r="HL1" s="524" t="s">
        <v>1288</v>
      </c>
      <c r="HM1" s="524" t="s">
        <v>1289</v>
      </c>
      <c r="HN1" s="524" t="s">
        <v>1290</v>
      </c>
      <c r="HO1" s="524" t="s">
        <v>1291</v>
      </c>
      <c r="HP1" s="524" t="s">
        <v>1292</v>
      </c>
      <c r="HQ1" s="524" t="s">
        <v>1293</v>
      </c>
      <c r="HR1" s="524" t="s">
        <v>1294</v>
      </c>
      <c r="HS1" s="524" t="s">
        <v>1295</v>
      </c>
      <c r="HT1" s="524" t="s">
        <v>1296</v>
      </c>
      <c r="HU1" s="524" t="s">
        <v>1297</v>
      </c>
      <c r="HV1" s="524" t="s">
        <v>1298</v>
      </c>
      <c r="HW1" s="524" t="s">
        <v>1299</v>
      </c>
      <c r="HX1" s="524" t="s">
        <v>1300</v>
      </c>
      <c r="HY1" s="524" t="s">
        <v>1301</v>
      </c>
      <c r="HZ1" s="524" t="s">
        <v>1302</v>
      </c>
      <c r="IA1" s="524" t="s">
        <v>1303</v>
      </c>
      <c r="IB1" s="524" t="s">
        <v>1304</v>
      </c>
      <c r="IC1" s="524" t="s">
        <v>1305</v>
      </c>
      <c r="ID1" s="524" t="s">
        <v>1306</v>
      </c>
      <c r="IE1" s="524" t="s">
        <v>1307</v>
      </c>
      <c r="IF1" s="524" t="s">
        <v>1308</v>
      </c>
      <c r="IG1" s="524" t="s">
        <v>1309</v>
      </c>
      <c r="IH1" s="524" t="s">
        <v>1310</v>
      </c>
      <c r="II1" s="524" t="s">
        <v>1311</v>
      </c>
      <c r="IJ1" s="524" t="s">
        <v>1312</v>
      </c>
      <c r="IK1" s="524" t="s">
        <v>1313</v>
      </c>
      <c r="IL1" s="524" t="s">
        <v>1314</v>
      </c>
      <c r="IM1" s="524" t="s">
        <v>1315</v>
      </c>
      <c r="IN1" s="524" t="s">
        <v>1316</v>
      </c>
      <c r="IO1" s="524" t="s">
        <v>1317</v>
      </c>
      <c r="IP1" s="524" t="s">
        <v>1318</v>
      </c>
      <c r="IQ1" s="524" t="s">
        <v>1319</v>
      </c>
      <c r="IR1" s="524" t="s">
        <v>1320</v>
      </c>
      <c r="IS1" s="524" t="s">
        <v>1321</v>
      </c>
      <c r="IT1" s="524" t="s">
        <v>1322</v>
      </c>
      <c r="IU1" s="524" t="s">
        <v>1323</v>
      </c>
      <c r="IV1" s="524" t="s">
        <v>1324</v>
      </c>
      <c r="IW1" s="524" t="s">
        <v>1325</v>
      </c>
      <c r="IX1" s="524" t="s">
        <v>1326</v>
      </c>
      <c r="IY1" s="524" t="s">
        <v>1327</v>
      </c>
      <c r="IZ1" s="524" t="s">
        <v>1328</v>
      </c>
      <c r="JA1" s="524" t="s">
        <v>1329</v>
      </c>
      <c r="JB1" s="524" t="s">
        <v>1330</v>
      </c>
      <c r="JC1" s="524" t="s">
        <v>1331</v>
      </c>
      <c r="JD1" s="524" t="s">
        <v>1332</v>
      </c>
      <c r="JE1" s="524" t="s">
        <v>1333</v>
      </c>
      <c r="JF1" s="524" t="s">
        <v>1334</v>
      </c>
      <c r="JG1" s="524" t="s">
        <v>1335</v>
      </c>
      <c r="JH1" s="524" t="s">
        <v>1336</v>
      </c>
      <c r="JI1" s="524" t="s">
        <v>1337</v>
      </c>
      <c r="JJ1" s="524" t="s">
        <v>1338</v>
      </c>
      <c r="JK1" s="524" t="s">
        <v>1339</v>
      </c>
      <c r="JL1" s="524" t="s">
        <v>1340</v>
      </c>
      <c r="JM1" s="524" t="s">
        <v>1341</v>
      </c>
      <c r="JN1" s="524" t="s">
        <v>1342</v>
      </c>
      <c r="JO1" s="524" t="s">
        <v>1343</v>
      </c>
      <c r="JP1" s="524" t="s">
        <v>1344</v>
      </c>
      <c r="JQ1" s="524" t="s">
        <v>1345</v>
      </c>
      <c r="JR1" s="524" t="s">
        <v>1346</v>
      </c>
      <c r="JS1" s="524" t="s">
        <v>1347</v>
      </c>
      <c r="JT1" s="524" t="s">
        <v>1348</v>
      </c>
      <c r="JU1" s="524" t="s">
        <v>1349</v>
      </c>
      <c r="JV1" s="524" t="s">
        <v>1350</v>
      </c>
      <c r="JW1" s="524" t="s">
        <v>1351</v>
      </c>
      <c r="JX1" s="524" t="s">
        <v>1352</v>
      </c>
      <c r="JY1" s="524" t="s">
        <v>1353</v>
      </c>
      <c r="JZ1" s="524" t="s">
        <v>1354</v>
      </c>
      <c r="KA1" s="524" t="s">
        <v>1355</v>
      </c>
      <c r="KB1" s="524" t="s">
        <v>1356</v>
      </c>
      <c r="KC1" s="524" t="s">
        <v>1357</v>
      </c>
      <c r="KD1" s="524" t="s">
        <v>1358</v>
      </c>
      <c r="KE1" s="524" t="s">
        <v>1359</v>
      </c>
      <c r="KF1" s="524" t="s">
        <v>1360</v>
      </c>
      <c r="KG1" s="524" t="s">
        <v>1361</v>
      </c>
      <c r="KH1" s="524" t="s">
        <v>1362</v>
      </c>
      <c r="KI1" s="524" t="s">
        <v>1363</v>
      </c>
      <c r="KJ1" s="524" t="s">
        <v>1364</v>
      </c>
      <c r="KK1" s="524" t="s">
        <v>1365</v>
      </c>
      <c r="KL1" s="524" t="s">
        <v>1366</v>
      </c>
      <c r="KM1" s="524" t="s">
        <v>1367</v>
      </c>
      <c r="KN1" s="524" t="s">
        <v>1368</v>
      </c>
      <c r="KO1" s="524" t="s">
        <v>1369</v>
      </c>
      <c r="KP1" s="524" t="s">
        <v>1370</v>
      </c>
      <c r="KQ1" s="524" t="s">
        <v>1371</v>
      </c>
      <c r="KR1" s="524" t="s">
        <v>1372</v>
      </c>
      <c r="KS1" s="524" t="s">
        <v>1373</v>
      </c>
      <c r="KT1" s="524" t="s">
        <v>1374</v>
      </c>
      <c r="KU1" s="524" t="s">
        <v>1375</v>
      </c>
      <c r="KV1" s="524" t="s">
        <v>1376</v>
      </c>
      <c r="KW1" s="524" t="s">
        <v>1377</v>
      </c>
      <c r="KX1" s="524" t="s">
        <v>1378</v>
      </c>
      <c r="KY1" s="524"/>
      <c r="KZ1" s="524"/>
      <c r="LA1" s="524"/>
      <c r="LB1" s="524" t="s">
        <v>1379</v>
      </c>
      <c r="LC1" s="524" t="s">
        <v>1380</v>
      </c>
      <c r="LD1" s="524" t="s">
        <v>1381</v>
      </c>
      <c r="LE1" s="524" t="s">
        <v>1382</v>
      </c>
      <c r="LF1" s="524" t="s">
        <v>1383</v>
      </c>
      <c r="LG1" s="524" t="s">
        <v>1384</v>
      </c>
      <c r="LH1" s="524" t="s">
        <v>1385</v>
      </c>
      <c r="LI1" s="524" t="s">
        <v>1386</v>
      </c>
      <c r="LJ1" s="524" t="s">
        <v>1387</v>
      </c>
      <c r="LK1" s="524" t="s">
        <v>1388</v>
      </c>
      <c r="LL1" s="524" t="s">
        <v>1389</v>
      </c>
      <c r="LM1" s="524" t="s">
        <v>1390</v>
      </c>
      <c r="LN1" s="524" t="s">
        <v>1391</v>
      </c>
      <c r="LO1" s="524" t="s">
        <v>1392</v>
      </c>
      <c r="LP1" s="524" t="s">
        <v>1393</v>
      </c>
      <c r="LQ1" s="524" t="s">
        <v>1394</v>
      </c>
      <c r="LR1" s="524" t="s">
        <v>1395</v>
      </c>
      <c r="LS1" s="524" t="s">
        <v>1396</v>
      </c>
      <c r="LT1" s="524" t="s">
        <v>1397</v>
      </c>
      <c r="LU1" s="524" t="s">
        <v>1398</v>
      </c>
      <c r="LV1" s="524" t="s">
        <v>1399</v>
      </c>
      <c r="LW1" s="524" t="s">
        <v>1400</v>
      </c>
      <c r="LX1" s="524" t="s">
        <v>1401</v>
      </c>
      <c r="LY1" s="524" t="s">
        <v>1402</v>
      </c>
      <c r="LZ1" s="524" t="s">
        <v>1403</v>
      </c>
      <c r="MA1" s="524" t="s">
        <v>1404</v>
      </c>
      <c r="MB1" s="524" t="s">
        <v>1405</v>
      </c>
      <c r="MC1" s="524" t="s">
        <v>1406</v>
      </c>
      <c r="MD1" s="524" t="s">
        <v>1407</v>
      </c>
      <c r="ME1" s="524" t="s">
        <v>1408</v>
      </c>
      <c r="MF1" s="524" t="s">
        <v>1409</v>
      </c>
      <c r="MG1" s="524" t="s">
        <v>1410</v>
      </c>
      <c r="MH1" s="524" t="s">
        <v>1411</v>
      </c>
      <c r="MN1" s="524" t="s">
        <v>1386</v>
      </c>
      <c r="MP1" s="360"/>
    </row>
    <row r="2" spans="1:392" s="473" customFormat="1" ht="14.25" hidden="1">
      <c r="A2" s="473">
        <f>SUBTOTAL(2,A15:A3562)</f>
        <v>0</v>
      </c>
      <c r="H2" s="473">
        <f>SUBTOTAL(3,H15:H15)</f>
        <v>1</v>
      </c>
      <c r="I2" s="473">
        <f>SUBTOTAL(2,I15:I3551)</f>
        <v>1</v>
      </c>
      <c r="J2" s="473">
        <f>SUBTOTAL(2,J15:J3551)</f>
        <v>0</v>
      </c>
      <c r="K2" s="474">
        <f t="shared" ref="K2:AD2" si="0">SUBTOTAL(9,K15:K15)</f>
        <v>19</v>
      </c>
      <c r="L2" s="474">
        <f t="shared" si="0"/>
        <v>4</v>
      </c>
      <c r="M2" s="474">
        <f t="shared" si="0"/>
        <v>10</v>
      </c>
      <c r="N2" s="474">
        <f t="shared" si="0"/>
        <v>3</v>
      </c>
      <c r="O2" s="474">
        <f t="shared" si="0"/>
        <v>2</v>
      </c>
      <c r="P2" s="474">
        <f t="shared" si="0"/>
        <v>1</v>
      </c>
      <c r="Q2" s="474">
        <f t="shared" si="0"/>
        <v>0</v>
      </c>
      <c r="R2" s="474">
        <f t="shared" si="0"/>
        <v>3</v>
      </c>
      <c r="S2" s="474">
        <f t="shared" si="0"/>
        <v>0</v>
      </c>
      <c r="T2" s="474">
        <f>SUBTOTAL(9,T15:T15)</f>
        <v>13</v>
      </c>
      <c r="U2" s="474">
        <f>SUBTOTAL(9,U15:U15)</f>
        <v>1</v>
      </c>
      <c r="V2" s="474">
        <f t="shared" si="0"/>
        <v>2</v>
      </c>
      <c r="W2" s="474">
        <f t="shared" si="0"/>
        <v>2</v>
      </c>
      <c r="X2" s="474">
        <f t="shared" si="0"/>
        <v>1</v>
      </c>
      <c r="Y2" s="474">
        <f t="shared" si="0"/>
        <v>2</v>
      </c>
      <c r="Z2" s="474">
        <f t="shared" si="0"/>
        <v>2</v>
      </c>
      <c r="AA2" s="474">
        <f t="shared" si="0"/>
        <v>2</v>
      </c>
      <c r="AB2" s="474">
        <f t="shared" si="0"/>
        <v>0</v>
      </c>
      <c r="AC2" s="474">
        <f t="shared" si="0"/>
        <v>1</v>
      </c>
      <c r="AD2" s="474">
        <f t="shared" si="0"/>
        <v>0</v>
      </c>
      <c r="AE2" s="474"/>
      <c r="AF2" s="474">
        <f t="shared" ref="AF2:CQ2" si="1">SUBTOTAL(9,AF15:AF3551)</f>
        <v>41962</v>
      </c>
      <c r="AG2" s="474">
        <f t="shared" si="1"/>
        <v>41962</v>
      </c>
      <c r="AH2" s="474">
        <f t="shared" si="1"/>
        <v>24248</v>
      </c>
      <c r="AI2" s="474">
        <f t="shared" si="1"/>
        <v>17714</v>
      </c>
      <c r="AJ2" s="474">
        <f t="shared" si="1"/>
        <v>0</v>
      </c>
      <c r="AK2" s="474">
        <f t="shared" si="1"/>
        <v>0</v>
      </c>
      <c r="AL2" s="474">
        <f t="shared" si="1"/>
        <v>0</v>
      </c>
      <c r="AM2" s="474">
        <f t="shared" si="1"/>
        <v>0</v>
      </c>
      <c r="AN2" s="474">
        <f t="shared" si="1"/>
        <v>0</v>
      </c>
      <c r="AO2" s="474">
        <f t="shared" si="1"/>
        <v>0</v>
      </c>
      <c r="AP2" s="474">
        <f t="shared" si="1"/>
        <v>0</v>
      </c>
      <c r="AQ2" s="474">
        <f t="shared" si="1"/>
        <v>0</v>
      </c>
      <c r="AR2" s="474">
        <f t="shared" si="1"/>
        <v>0</v>
      </c>
      <c r="AS2" s="474">
        <f t="shared" si="1"/>
        <v>0</v>
      </c>
      <c r="AT2" s="474">
        <f t="shared" si="1"/>
        <v>0</v>
      </c>
      <c r="AU2" s="474">
        <f t="shared" si="1"/>
        <v>0</v>
      </c>
      <c r="AV2" s="474">
        <f t="shared" si="1"/>
        <v>0</v>
      </c>
      <c r="AW2" s="474">
        <f t="shared" si="1"/>
        <v>0</v>
      </c>
      <c r="AX2" s="474">
        <f t="shared" si="1"/>
        <v>0</v>
      </c>
      <c r="AY2" s="474">
        <f t="shared" si="1"/>
        <v>0</v>
      </c>
      <c r="AZ2" s="474">
        <f t="shared" si="1"/>
        <v>0</v>
      </c>
      <c r="BA2" s="474">
        <f t="shared" si="1"/>
        <v>0</v>
      </c>
      <c r="BB2" s="474">
        <f t="shared" si="1"/>
        <v>0</v>
      </c>
      <c r="BC2" s="474">
        <f t="shared" si="1"/>
        <v>0</v>
      </c>
      <c r="BD2" s="474">
        <f t="shared" si="1"/>
        <v>0</v>
      </c>
      <c r="BE2" s="474">
        <f t="shared" si="1"/>
        <v>0</v>
      </c>
      <c r="BF2" s="474">
        <f t="shared" si="1"/>
        <v>0</v>
      </c>
      <c r="BG2" s="474">
        <f t="shared" si="1"/>
        <v>0</v>
      </c>
      <c r="BH2" s="474">
        <f t="shared" si="1"/>
        <v>0</v>
      </c>
      <c r="BI2" s="474">
        <f t="shared" si="1"/>
        <v>41962</v>
      </c>
      <c r="BJ2" s="474">
        <f t="shared" si="1"/>
        <v>41962</v>
      </c>
      <c r="BK2" s="474">
        <f t="shared" si="1"/>
        <v>24248</v>
      </c>
      <c r="BL2" s="474">
        <f t="shared" si="1"/>
        <v>17714</v>
      </c>
      <c r="BM2" s="474">
        <f>SUBTOTAL(9,BM15:BM3551)</f>
        <v>0</v>
      </c>
      <c r="BN2" s="474">
        <f t="shared" si="1"/>
        <v>0</v>
      </c>
      <c r="BO2" s="474">
        <f t="shared" si="1"/>
        <v>0</v>
      </c>
      <c r="BP2" s="474">
        <f t="shared" si="1"/>
        <v>0</v>
      </c>
      <c r="BQ2" s="474">
        <f>SUBTOTAL(9,BQ15:BQ3551)</f>
        <v>0</v>
      </c>
      <c r="BR2" s="474">
        <f>SUBTOTAL(9,BR15:BR3551)</f>
        <v>0</v>
      </c>
      <c r="BS2" s="474">
        <f t="shared" si="1"/>
        <v>0</v>
      </c>
      <c r="BT2" s="474">
        <f t="shared" si="1"/>
        <v>0</v>
      </c>
      <c r="BU2" s="474">
        <f t="shared" si="1"/>
        <v>0</v>
      </c>
      <c r="BV2" s="474">
        <f t="shared" si="1"/>
        <v>0</v>
      </c>
      <c r="BW2" s="474">
        <f t="shared" si="1"/>
        <v>0</v>
      </c>
      <c r="BX2" s="474">
        <f t="shared" si="1"/>
        <v>0</v>
      </c>
      <c r="BY2" s="474">
        <f t="shared" si="1"/>
        <v>0</v>
      </c>
      <c r="BZ2" s="474">
        <f t="shared" si="1"/>
        <v>0</v>
      </c>
      <c r="CA2" s="474">
        <f t="shared" si="1"/>
        <v>0</v>
      </c>
      <c r="CB2" s="474">
        <f t="shared" si="1"/>
        <v>0</v>
      </c>
      <c r="CC2" s="474">
        <f t="shared" si="1"/>
        <v>0</v>
      </c>
      <c r="CD2" s="474">
        <f t="shared" si="1"/>
        <v>0</v>
      </c>
      <c r="CE2" s="474">
        <f t="shared" si="1"/>
        <v>0</v>
      </c>
      <c r="CF2" s="474">
        <f t="shared" si="1"/>
        <v>0</v>
      </c>
      <c r="CG2" s="474">
        <f t="shared" si="1"/>
        <v>0</v>
      </c>
      <c r="CH2" s="474">
        <f t="shared" si="1"/>
        <v>0</v>
      </c>
      <c r="CI2" s="474">
        <f t="shared" si="1"/>
        <v>0</v>
      </c>
      <c r="CJ2" s="474">
        <f t="shared" si="1"/>
        <v>0</v>
      </c>
      <c r="CK2" s="474">
        <f t="shared" si="1"/>
        <v>0</v>
      </c>
      <c r="CL2" s="474">
        <f t="shared" si="1"/>
        <v>0</v>
      </c>
      <c r="CM2" s="474">
        <f t="shared" si="1"/>
        <v>0</v>
      </c>
      <c r="CN2" s="474">
        <f t="shared" si="1"/>
        <v>0</v>
      </c>
      <c r="CO2" s="474">
        <f t="shared" si="1"/>
        <v>0</v>
      </c>
      <c r="CP2" s="474">
        <f t="shared" si="1"/>
        <v>0</v>
      </c>
      <c r="CQ2" s="474">
        <f t="shared" si="1"/>
        <v>0</v>
      </c>
      <c r="CR2" s="474">
        <f t="shared" ref="CR2:DV2" si="2">SUBTOTAL(9,CR15:CR3551)</f>
        <v>0</v>
      </c>
      <c r="CS2" s="474">
        <f t="shared" si="2"/>
        <v>0</v>
      </c>
      <c r="CT2" s="474">
        <f t="shared" si="2"/>
        <v>0</v>
      </c>
      <c r="CU2" s="474">
        <f t="shared" si="2"/>
        <v>0</v>
      </c>
      <c r="CV2" s="474">
        <f t="shared" si="2"/>
        <v>0</v>
      </c>
      <c r="CW2" s="474">
        <f t="shared" si="2"/>
        <v>0</v>
      </c>
      <c r="CX2" s="474">
        <f t="shared" si="2"/>
        <v>0</v>
      </c>
      <c r="CY2" s="474">
        <f t="shared" si="2"/>
        <v>0</v>
      </c>
      <c r="CZ2" s="474">
        <f t="shared" si="2"/>
        <v>0</v>
      </c>
      <c r="DA2" s="474">
        <f t="shared" si="2"/>
        <v>0</v>
      </c>
      <c r="DB2" s="474">
        <f t="shared" si="2"/>
        <v>0</v>
      </c>
      <c r="DC2" s="474">
        <f t="shared" si="2"/>
        <v>0</v>
      </c>
      <c r="DD2" s="474">
        <f t="shared" si="2"/>
        <v>0</v>
      </c>
      <c r="DE2" s="474">
        <f t="shared" si="2"/>
        <v>0</v>
      </c>
      <c r="DF2" s="474">
        <f t="shared" si="2"/>
        <v>0</v>
      </c>
      <c r="DG2" s="474">
        <f t="shared" si="2"/>
        <v>0</v>
      </c>
      <c r="DH2" s="474">
        <f t="shared" si="2"/>
        <v>0</v>
      </c>
      <c r="DI2" s="474">
        <f t="shared" si="2"/>
        <v>0</v>
      </c>
      <c r="DJ2" s="474">
        <f t="shared" si="2"/>
        <v>0</v>
      </c>
      <c r="DK2" s="474">
        <f t="shared" si="2"/>
        <v>0</v>
      </c>
      <c r="DL2" s="474">
        <f t="shared" si="2"/>
        <v>0</v>
      </c>
      <c r="DM2" s="474">
        <f t="shared" si="2"/>
        <v>0</v>
      </c>
      <c r="DN2" s="474">
        <f t="shared" si="2"/>
        <v>0</v>
      </c>
      <c r="DO2" s="474">
        <f t="shared" si="2"/>
        <v>0</v>
      </c>
      <c r="DP2" s="474">
        <f t="shared" si="2"/>
        <v>520735</v>
      </c>
      <c r="DQ2" s="474">
        <f t="shared" si="2"/>
        <v>0</v>
      </c>
      <c r="DR2" s="474">
        <f t="shared" si="2"/>
        <v>0</v>
      </c>
      <c r="DS2" s="474">
        <f t="shared" si="2"/>
        <v>0</v>
      </c>
      <c r="DT2" s="474">
        <f t="shared" si="2"/>
        <v>0</v>
      </c>
      <c r="DU2" s="474">
        <f t="shared" si="2"/>
        <v>0</v>
      </c>
      <c r="DV2" s="474">
        <f t="shared" si="2"/>
        <v>0</v>
      </c>
      <c r="DW2" s="474">
        <f>SUBTOTAL(3,DW15:DW3551)</f>
        <v>0</v>
      </c>
      <c r="DX2" s="474">
        <f t="shared" ref="DX2:EP2" si="3">SUBTOTAL(9,DX15:DX3551)</f>
        <v>0</v>
      </c>
      <c r="DY2" s="474">
        <f t="shared" si="3"/>
        <v>0</v>
      </c>
      <c r="DZ2" s="474">
        <f t="shared" si="3"/>
        <v>0</v>
      </c>
      <c r="EA2" s="474">
        <f t="shared" si="3"/>
        <v>0</v>
      </c>
      <c r="EB2" s="474">
        <f t="shared" si="3"/>
        <v>0</v>
      </c>
      <c r="EC2" s="474">
        <f t="shared" si="3"/>
        <v>0</v>
      </c>
      <c r="ED2" s="474">
        <f t="shared" si="3"/>
        <v>0</v>
      </c>
      <c r="EE2" s="474">
        <f t="shared" si="3"/>
        <v>0</v>
      </c>
      <c r="EF2" s="474">
        <f t="shared" si="3"/>
        <v>0</v>
      </c>
      <c r="EG2" s="474">
        <f t="shared" si="3"/>
        <v>0</v>
      </c>
      <c r="EH2" s="474">
        <f t="shared" si="3"/>
        <v>0</v>
      </c>
      <c r="EI2" s="474">
        <f t="shared" si="3"/>
        <v>0</v>
      </c>
      <c r="EJ2" s="474">
        <f t="shared" si="3"/>
        <v>0</v>
      </c>
      <c r="EK2" s="474">
        <f t="shared" si="3"/>
        <v>0</v>
      </c>
      <c r="EL2" s="474">
        <f t="shared" si="3"/>
        <v>0</v>
      </c>
      <c r="EM2" s="474">
        <f t="shared" si="3"/>
        <v>0</v>
      </c>
      <c r="EN2" s="474">
        <f t="shared" si="3"/>
        <v>0</v>
      </c>
      <c r="EO2" s="474">
        <f t="shared" si="3"/>
        <v>0</v>
      </c>
      <c r="EP2" s="474">
        <f t="shared" si="3"/>
        <v>0</v>
      </c>
      <c r="EQ2" s="474">
        <f t="shared" ref="EQ2:EV2" si="4">SUBTOTAL(9,EQ15:EQ3551)</f>
        <v>0</v>
      </c>
      <c r="ER2" s="474">
        <f t="shared" si="4"/>
        <v>0</v>
      </c>
      <c r="ES2" s="474">
        <f t="shared" si="4"/>
        <v>0</v>
      </c>
      <c r="ET2" s="474">
        <f t="shared" si="4"/>
        <v>0</v>
      </c>
      <c r="EU2" s="474">
        <f t="shared" si="4"/>
        <v>0</v>
      </c>
      <c r="EV2" s="474">
        <f t="shared" si="4"/>
        <v>0</v>
      </c>
      <c r="EW2" s="474">
        <f t="shared" ref="EW2:FE2" si="5">SUBTOTAL(3,EW15:EW3551)</f>
        <v>1</v>
      </c>
      <c r="EX2" s="474">
        <f t="shared" si="5"/>
        <v>1</v>
      </c>
      <c r="EY2" s="474">
        <f t="shared" si="5"/>
        <v>0</v>
      </c>
      <c r="EZ2" s="474">
        <f t="shared" si="5"/>
        <v>1</v>
      </c>
      <c r="FA2" s="474">
        <f t="shared" si="5"/>
        <v>1</v>
      </c>
      <c r="FB2" s="474">
        <f t="shared" si="5"/>
        <v>0</v>
      </c>
      <c r="FC2" s="474">
        <f t="shared" si="5"/>
        <v>1</v>
      </c>
      <c r="FD2" s="474">
        <f t="shared" si="5"/>
        <v>1</v>
      </c>
      <c r="FE2" s="474">
        <f t="shared" si="5"/>
        <v>0</v>
      </c>
      <c r="FF2" s="474">
        <f t="shared" ref="FF2:FT2" si="6">SUBTOTAL(9,FF15:FF3551)</f>
        <v>1</v>
      </c>
      <c r="FG2" s="474">
        <f t="shared" si="6"/>
        <v>6260</v>
      </c>
      <c r="FH2" s="474">
        <f t="shared" si="6"/>
        <v>6260</v>
      </c>
      <c r="FI2" s="474">
        <f t="shared" si="6"/>
        <v>0</v>
      </c>
      <c r="FJ2" s="474">
        <f t="shared" si="6"/>
        <v>37560</v>
      </c>
      <c r="FK2" s="474">
        <f t="shared" si="6"/>
        <v>0</v>
      </c>
      <c r="FL2" s="474">
        <f t="shared" si="6"/>
        <v>0</v>
      </c>
      <c r="FM2" s="474">
        <f t="shared" si="6"/>
        <v>0</v>
      </c>
      <c r="FN2" s="474">
        <f t="shared" si="6"/>
        <v>0</v>
      </c>
      <c r="FO2" s="474">
        <f t="shared" si="6"/>
        <v>0</v>
      </c>
      <c r="FP2" s="474">
        <f t="shared" si="6"/>
        <v>0</v>
      </c>
      <c r="FQ2" s="474">
        <f t="shared" si="6"/>
        <v>0</v>
      </c>
      <c r="FR2" s="474">
        <f t="shared" si="6"/>
        <v>0</v>
      </c>
      <c r="FS2" s="474">
        <f t="shared" si="6"/>
        <v>0</v>
      </c>
      <c r="FT2" s="474">
        <f t="shared" si="6"/>
        <v>0</v>
      </c>
      <c r="FU2" s="474">
        <f>SUBTOTAL(3,FU15:FU3551)</f>
        <v>0</v>
      </c>
      <c r="FV2" s="474">
        <f t="shared" ref="FV2:GF2" si="7">SUBTOTAL(9,FV15:FV3551)</f>
        <v>0</v>
      </c>
      <c r="FW2" s="474">
        <f t="shared" si="7"/>
        <v>0</v>
      </c>
      <c r="FX2" s="474">
        <f t="shared" si="7"/>
        <v>0</v>
      </c>
      <c r="FY2" s="474">
        <f t="shared" si="7"/>
        <v>0</v>
      </c>
      <c r="FZ2" s="474">
        <f t="shared" si="7"/>
        <v>0</v>
      </c>
      <c r="GA2" s="474">
        <f t="shared" si="7"/>
        <v>0</v>
      </c>
      <c r="GB2" s="474">
        <f t="shared" si="7"/>
        <v>0</v>
      </c>
      <c r="GC2" s="474">
        <f t="shared" si="7"/>
        <v>0</v>
      </c>
      <c r="GD2" s="474">
        <f t="shared" si="7"/>
        <v>0</v>
      </c>
      <c r="GE2" s="474">
        <f t="shared" si="7"/>
        <v>0</v>
      </c>
      <c r="GF2" s="474">
        <f t="shared" si="7"/>
        <v>0</v>
      </c>
      <c r="GG2" s="474">
        <f>SUBTOTAL(3,GG15:GG3551)</f>
        <v>0</v>
      </c>
      <c r="GH2" s="474">
        <f t="shared" ref="GH2:GT2" si="8">SUBTOTAL(9,GH15:GH3551)</f>
        <v>0</v>
      </c>
      <c r="GI2" s="474">
        <f t="shared" si="8"/>
        <v>0</v>
      </c>
      <c r="GJ2" s="474">
        <f t="shared" si="8"/>
        <v>0</v>
      </c>
      <c r="GK2" s="474">
        <f t="shared" si="8"/>
        <v>0</v>
      </c>
      <c r="GL2" s="474">
        <f>SUBTOTAL(9,GL15:GL3551)</f>
        <v>2</v>
      </c>
      <c r="GM2" s="474">
        <f t="shared" si="8"/>
        <v>0</v>
      </c>
      <c r="GN2" s="474">
        <f t="shared" si="8"/>
        <v>0</v>
      </c>
      <c r="GO2" s="474">
        <f t="shared" si="8"/>
        <v>0</v>
      </c>
      <c r="GP2" s="474">
        <f t="shared" si="8"/>
        <v>0</v>
      </c>
      <c r="GQ2" s="474">
        <f t="shared" si="8"/>
        <v>0</v>
      </c>
      <c r="GR2" s="474">
        <f t="shared" si="8"/>
        <v>0</v>
      </c>
      <c r="GS2" s="474">
        <f t="shared" si="8"/>
        <v>0</v>
      </c>
      <c r="GT2" s="474">
        <f t="shared" si="8"/>
        <v>0</v>
      </c>
      <c r="GU2" s="474">
        <f>SUBTOTAL(3,GU15:GU3551)</f>
        <v>1</v>
      </c>
      <c r="GV2" s="474">
        <f>SUBTOTAL(3,GV15:GV3551)</f>
        <v>1</v>
      </c>
      <c r="GW2" s="474">
        <f>SUBTOTAL(3,GW15:GW3551)</f>
        <v>0</v>
      </c>
      <c r="GX2" s="474">
        <f>SUBTOTAL(9,GX15:GX3551)</f>
        <v>0</v>
      </c>
      <c r="GY2" s="474">
        <f>SUBTOTAL(9,GY15:GY3551)</f>
        <v>0</v>
      </c>
      <c r="GZ2" s="474">
        <f>SUBTOTAL(9,GZ15:GZ3551)</f>
        <v>0</v>
      </c>
      <c r="HA2" s="474">
        <f>SUBTOTAL(9,HA15:HA3551)</f>
        <v>0</v>
      </c>
      <c r="HB2" s="474">
        <f>SUBTOTAL(3,HB15:HB3551)</f>
        <v>1</v>
      </c>
      <c r="HC2" s="474">
        <f>SUBTOTAL(3,HC15:HC3551)</f>
        <v>1</v>
      </c>
      <c r="HD2" s="474">
        <f>SUBTOTAL(3,HD15:HD3551)</f>
        <v>0</v>
      </c>
      <c r="HE2" s="474">
        <f>SUBTOTAL(9,HE15:HE3551)</f>
        <v>1</v>
      </c>
      <c r="HF2" s="474">
        <f>SUBTOTAL(9,HF15:HF3551)</f>
        <v>5000</v>
      </c>
      <c r="HG2" s="474">
        <f>SUBTOTAL(9,HG15:HG3551)</f>
        <v>0</v>
      </c>
      <c r="HH2" s="474">
        <f>SUBTOTAL(9,HH15:HH3551)</f>
        <v>0</v>
      </c>
      <c r="HI2" s="474">
        <f>SUBTOTAL(3,HI15:HI3551)</f>
        <v>1</v>
      </c>
      <c r="HJ2" s="474">
        <f>SUBTOTAL(3,HJ15:HJ3551)</f>
        <v>1</v>
      </c>
      <c r="HK2" s="474">
        <f>SUBTOTAL(3,HK15:HK3551)</f>
        <v>0</v>
      </c>
      <c r="HL2" s="474">
        <f>SUBTOTAL(9,HL15:HL3551)</f>
        <v>0</v>
      </c>
      <c r="HM2" s="474">
        <f>SUBTOTAL(9,HM15:HM246551)</f>
        <v>0</v>
      </c>
      <c r="HN2" s="474">
        <f>SUBTOTAL(9,HN15:HN246551)</f>
        <v>558295</v>
      </c>
      <c r="HO2" s="499">
        <f>SUBTOTAL(9,HO15:HO246551)</f>
        <v>0</v>
      </c>
      <c r="HP2" s="474">
        <f>SUBTOTAL(9,HP15:HP246551)</f>
        <v>258295</v>
      </c>
      <c r="HQ2" s="476">
        <f>HP2/HN2</f>
        <v>0.46264967445526112</v>
      </c>
      <c r="HR2" s="474">
        <f t="shared" ref="HR2:IK2" si="9">SUBTOTAL(9,HR15:HR3551)</f>
        <v>300000</v>
      </c>
      <c r="HS2" s="474">
        <f t="shared" si="9"/>
        <v>0</v>
      </c>
      <c r="HT2" s="474">
        <f t="shared" si="9"/>
        <v>558295</v>
      </c>
      <c r="HU2" s="474">
        <f t="shared" si="9"/>
        <v>0</v>
      </c>
      <c r="HV2" s="474">
        <f t="shared" si="9"/>
        <v>96000</v>
      </c>
      <c r="HW2" s="474">
        <f t="shared" si="9"/>
        <v>30000</v>
      </c>
      <c r="HX2" s="474">
        <f t="shared" si="9"/>
        <v>1000</v>
      </c>
      <c r="HY2" s="474">
        <f t="shared" si="9"/>
        <v>10000</v>
      </c>
      <c r="HZ2" s="474">
        <f t="shared" si="9"/>
        <v>10000</v>
      </c>
      <c r="IA2" s="474">
        <f t="shared" si="9"/>
        <v>5000</v>
      </c>
      <c r="IB2" s="474">
        <f t="shared" si="9"/>
        <v>5000</v>
      </c>
      <c r="IC2" s="474">
        <f t="shared" si="9"/>
        <v>3000</v>
      </c>
      <c r="ID2" s="474">
        <f t="shared" si="9"/>
        <v>10000</v>
      </c>
      <c r="IE2" s="474">
        <f t="shared" si="9"/>
        <v>2000</v>
      </c>
      <c r="IF2" s="474">
        <f t="shared" si="9"/>
        <v>10000</v>
      </c>
      <c r="IG2" s="474">
        <f t="shared" si="9"/>
        <v>5000</v>
      </c>
      <c r="IH2" s="474">
        <f t="shared" si="9"/>
        <v>5000</v>
      </c>
      <c r="II2" s="474">
        <f t="shared" si="9"/>
        <v>0</v>
      </c>
      <c r="IJ2" s="499">
        <f t="shared" si="9"/>
        <v>0</v>
      </c>
      <c r="IK2" s="474">
        <f t="shared" si="9"/>
        <v>0</v>
      </c>
      <c r="IL2" s="473">
        <f>COUNTIF(IL15:IL3551,"&gt;0")</f>
        <v>1</v>
      </c>
      <c r="IM2" s="474">
        <f t="shared" ref="IM2:IV2" si="10">SUBTOTAL(9,IM15:IM3551)</f>
        <v>1</v>
      </c>
      <c r="IN2" s="474">
        <f t="shared" si="10"/>
        <v>1</v>
      </c>
      <c r="IO2" s="505">
        <f t="shared" si="10"/>
        <v>0</v>
      </c>
      <c r="IP2" s="474">
        <f t="shared" si="10"/>
        <v>0</v>
      </c>
      <c r="IQ2" s="474">
        <f t="shared" si="10"/>
        <v>0</v>
      </c>
      <c r="IR2" s="474">
        <f t="shared" si="10"/>
        <v>0</v>
      </c>
      <c r="IS2" s="474">
        <f t="shared" si="10"/>
        <v>0</v>
      </c>
      <c r="IT2" s="474">
        <f t="shared" si="10"/>
        <v>0</v>
      </c>
      <c r="IU2" s="474">
        <f t="shared" si="10"/>
        <v>0</v>
      </c>
      <c r="IV2" s="505">
        <f t="shared" si="10"/>
        <v>0</v>
      </c>
      <c r="IW2" s="473">
        <f>COUNTIF(IW15:IW3551,"&gt;0")</f>
        <v>1</v>
      </c>
      <c r="IX2" s="474">
        <f>SUBTOTAL(9,IX15:IX3551)</f>
        <v>1</v>
      </c>
      <c r="IY2" s="474">
        <f>SUBTOTAL(9,IY15:IY3551)</f>
        <v>1</v>
      </c>
      <c r="IZ2" s="474">
        <f>SUBTOTAL(9,IZ15:IZ3551)</f>
        <v>1</v>
      </c>
      <c r="JA2" s="473">
        <f>COUNTIF(JA15:JA3551,"&gt;0")</f>
        <v>1</v>
      </c>
      <c r="JB2" s="474">
        <f t="shared" ref="JB2:JK2" si="11">SUBTOTAL(9,JB15:JB3551)</f>
        <v>1</v>
      </c>
      <c r="JC2" s="474">
        <f t="shared" si="11"/>
        <v>0</v>
      </c>
      <c r="JD2" s="474">
        <f t="shared" si="11"/>
        <v>0</v>
      </c>
      <c r="JE2" s="474">
        <f t="shared" si="11"/>
        <v>1</v>
      </c>
      <c r="JF2" s="474">
        <f t="shared" si="11"/>
        <v>0</v>
      </c>
      <c r="JG2" s="474">
        <f t="shared" si="11"/>
        <v>0</v>
      </c>
      <c r="JH2" s="474">
        <f t="shared" si="11"/>
        <v>1</v>
      </c>
      <c r="JI2" s="474">
        <f t="shared" si="11"/>
        <v>0</v>
      </c>
      <c r="JJ2" s="505">
        <f t="shared" si="11"/>
        <v>1</v>
      </c>
      <c r="JK2" s="474">
        <f t="shared" si="11"/>
        <v>0</v>
      </c>
      <c r="JL2" s="473">
        <f>COUNTIF(JL15:JL3551,"&gt;0")</f>
        <v>1</v>
      </c>
      <c r="JM2" s="474">
        <f>SUBTOTAL(9,JM15:JM3551)</f>
        <v>1</v>
      </c>
      <c r="JN2" s="474">
        <f>SUBTOTAL(9,JN15:JN3551)</f>
        <v>1</v>
      </c>
      <c r="JO2" s="474">
        <f>SUBTOTAL(9,JO15:JO3551)</f>
        <v>0</v>
      </c>
      <c r="JP2" s="474">
        <f>SUBTOTAL(9,JP15:JP3551)</f>
        <v>0</v>
      </c>
      <c r="JQ2" s="474">
        <f>SUBTOTAL(9,JQ15:JQ3551)</f>
        <v>0</v>
      </c>
      <c r="JR2" s="473">
        <f>COUNTIF(JR15:JR3551,"&gt;0")</f>
        <v>1</v>
      </c>
      <c r="JS2" s="474">
        <f t="shared" ref="JS2:KB2" si="12">SUBTOTAL(9,JS15:JS3551)</f>
        <v>1</v>
      </c>
      <c r="JT2" s="474">
        <f t="shared" si="12"/>
        <v>0</v>
      </c>
      <c r="JU2" s="474">
        <f t="shared" si="12"/>
        <v>0</v>
      </c>
      <c r="JV2" s="474">
        <f t="shared" si="12"/>
        <v>0</v>
      </c>
      <c r="JW2" s="474">
        <f t="shared" si="12"/>
        <v>0</v>
      </c>
      <c r="JX2" s="474">
        <f t="shared" si="12"/>
        <v>0</v>
      </c>
      <c r="JY2" s="474">
        <f t="shared" si="12"/>
        <v>0</v>
      </c>
      <c r="JZ2" s="474">
        <f t="shared" si="12"/>
        <v>1</v>
      </c>
      <c r="KA2" s="474">
        <f t="shared" si="12"/>
        <v>0</v>
      </c>
      <c r="KB2" s="474">
        <f t="shared" si="12"/>
        <v>0</v>
      </c>
      <c r="KC2" s="474">
        <f>SUBTOTAL(3,KC15:KC3551)</f>
        <v>1</v>
      </c>
      <c r="KD2" s="473">
        <f>COUNTIF(KD15:KD3551,"&gt;0")</f>
        <v>0</v>
      </c>
      <c r="KE2" s="473">
        <f>COUNTIF(KE15:KE3551,"&gt;0")</f>
        <v>1</v>
      </c>
      <c r="KF2" s="473">
        <f>COUNTIF(KF15:KF3551,"&gt;0")</f>
        <v>1</v>
      </c>
      <c r="KG2" s="473">
        <f>COUNTIF(KG15:KG3551,"&gt;0")</f>
        <v>1</v>
      </c>
      <c r="KH2" s="474">
        <f t="shared" ref="KH2:LB2" si="13">SUBTOTAL(9,KH15:KH3551)</f>
        <v>0</v>
      </c>
      <c r="KI2" s="474">
        <f t="shared" si="13"/>
        <v>3</v>
      </c>
      <c r="KJ2" s="426">
        <f t="shared" si="13"/>
        <v>21.0962</v>
      </c>
      <c r="KK2" s="474">
        <f t="shared" si="13"/>
        <v>1</v>
      </c>
      <c r="KL2" s="474">
        <f t="shared" si="13"/>
        <v>1</v>
      </c>
      <c r="KM2" s="474">
        <f t="shared" si="13"/>
        <v>0</v>
      </c>
      <c r="KN2" s="474">
        <f t="shared" si="13"/>
        <v>1</v>
      </c>
      <c r="KO2" s="474">
        <f t="shared" si="13"/>
        <v>0</v>
      </c>
      <c r="KP2" s="474">
        <f t="shared" si="13"/>
        <v>1</v>
      </c>
      <c r="KQ2" s="474">
        <f>SUBTOTAL(9,KQ15:KQ3551)</f>
        <v>0</v>
      </c>
      <c r="KR2" s="474">
        <f>SUBTOTAL(3,KR15:KR3551)</f>
        <v>1</v>
      </c>
      <c r="KS2" s="474">
        <f t="shared" si="13"/>
        <v>1</v>
      </c>
      <c r="KT2" s="474">
        <f t="shared" si="13"/>
        <v>0</v>
      </c>
      <c r="KU2" s="474">
        <f t="shared" si="13"/>
        <v>0</v>
      </c>
      <c r="KV2" s="474">
        <f t="shared" si="13"/>
        <v>0</v>
      </c>
      <c r="KW2" s="474">
        <f t="shared" si="13"/>
        <v>1</v>
      </c>
      <c r="KX2" s="474">
        <f t="shared" si="13"/>
        <v>1</v>
      </c>
      <c r="KY2" s="474"/>
      <c r="KZ2" s="474"/>
      <c r="LA2" s="474"/>
      <c r="LB2" s="474">
        <f t="shared" si="13"/>
        <v>0</v>
      </c>
      <c r="LC2" s="474">
        <f>SUBTOTAL(3,LC15:LC3551)</f>
        <v>1</v>
      </c>
      <c r="LD2" s="474">
        <f t="shared" ref="LD2:LP2" si="14">SUBTOTAL(9,LD15:LD3551)</f>
        <v>1</v>
      </c>
      <c r="LE2" s="474">
        <f t="shared" si="14"/>
        <v>1</v>
      </c>
      <c r="LF2" s="474">
        <f t="shared" si="14"/>
        <v>0</v>
      </c>
      <c r="LG2" s="474">
        <f t="shared" si="14"/>
        <v>0</v>
      </c>
      <c r="LH2" s="474">
        <f>SUBTOTAL(9,LH15:LH3551)</f>
        <v>0</v>
      </c>
      <c r="LI2" s="474">
        <f t="shared" si="14"/>
        <v>0</v>
      </c>
      <c r="LJ2" s="474">
        <f t="shared" si="14"/>
        <v>0</v>
      </c>
      <c r="LK2" s="474">
        <f t="shared" si="14"/>
        <v>1</v>
      </c>
      <c r="LL2" s="474">
        <f t="shared" si="14"/>
        <v>0</v>
      </c>
      <c r="LM2" s="474">
        <f t="shared" si="14"/>
        <v>0</v>
      </c>
      <c r="LN2" s="474">
        <f t="shared" si="14"/>
        <v>0</v>
      </c>
      <c r="LO2" s="474">
        <f t="shared" si="14"/>
        <v>0</v>
      </c>
      <c r="LP2" s="474">
        <f t="shared" si="14"/>
        <v>0</v>
      </c>
      <c r="LQ2" s="474">
        <f>SUBTOTAL(3,LQ15:LQ3551)</f>
        <v>1</v>
      </c>
      <c r="LR2" s="474">
        <f t="shared" ref="LR2:LX2" si="15">SUBTOTAL(9,LR15:LR3551)</f>
        <v>3</v>
      </c>
      <c r="LS2" s="474">
        <f t="shared" si="15"/>
        <v>18.3962</v>
      </c>
      <c r="LT2" s="474">
        <f t="shared" si="15"/>
        <v>0</v>
      </c>
      <c r="LU2" s="474">
        <f t="shared" si="15"/>
        <v>1</v>
      </c>
      <c r="LV2" s="474">
        <f t="shared" si="15"/>
        <v>0</v>
      </c>
      <c r="LW2" s="474">
        <f t="shared" si="15"/>
        <v>1</v>
      </c>
      <c r="LX2" s="474">
        <f t="shared" si="15"/>
        <v>0</v>
      </c>
      <c r="LY2" s="474">
        <f>SUBTOTAL(3,LY15:LY3551)</f>
        <v>1</v>
      </c>
      <c r="LZ2" s="474">
        <f t="shared" ref="LZ2:MF2" si="16">SUBTOTAL(9,LZ15:LZ3551)</f>
        <v>1</v>
      </c>
      <c r="MA2" s="474">
        <f t="shared" si="16"/>
        <v>0</v>
      </c>
      <c r="MB2" s="474">
        <f t="shared" si="16"/>
        <v>1</v>
      </c>
      <c r="MC2" s="474">
        <f t="shared" si="16"/>
        <v>0</v>
      </c>
      <c r="MD2" s="474">
        <f t="shared" si="16"/>
        <v>1</v>
      </c>
      <c r="ME2" s="474">
        <f t="shared" si="16"/>
        <v>1</v>
      </c>
      <c r="MF2" s="474">
        <f t="shared" si="16"/>
        <v>1</v>
      </c>
      <c r="MG2" s="474">
        <f>SUBTOTAL(3,MG15:MG3551)</f>
        <v>1</v>
      </c>
      <c r="MH2" s="474">
        <f>SUBTOTAL(3,MH15:MH3551)</f>
        <v>1</v>
      </c>
      <c r="MN2" s="474">
        <f>SUBTOTAL(9,MN15:MN3551)</f>
        <v>0</v>
      </c>
    </row>
    <row r="3" spans="1:392" s="473" customFormat="1" ht="6.6" customHeight="1">
      <c r="K3" s="474"/>
      <c r="L3" s="474"/>
      <c r="M3" s="474"/>
      <c r="N3" s="499"/>
      <c r="O3" s="499"/>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99"/>
      <c r="DQ3" s="499"/>
      <c r="DR3" s="474"/>
      <c r="DS3" s="474"/>
      <c r="DT3" s="474"/>
      <c r="DU3" s="474"/>
      <c r="DV3" s="474"/>
      <c r="DW3" s="474"/>
      <c r="DX3" s="474"/>
      <c r="DY3" s="474"/>
      <c r="DZ3" s="474"/>
      <c r="EA3" s="474"/>
      <c r="EB3" s="474"/>
      <c r="EC3" s="474"/>
      <c r="ED3" s="474"/>
      <c r="EE3" s="474"/>
      <c r="EF3" s="474"/>
      <c r="EG3" s="474"/>
      <c r="EH3" s="474"/>
      <c r="EI3" s="474"/>
      <c r="EJ3" s="474"/>
      <c r="EK3" s="474"/>
      <c r="EL3" s="474"/>
      <c r="EM3" s="474"/>
      <c r="EN3" s="474"/>
      <c r="EO3" s="474"/>
      <c r="EP3" s="499"/>
      <c r="EQ3" s="499"/>
      <c r="ER3" s="499"/>
      <c r="ES3" s="499"/>
      <c r="ET3" s="499"/>
      <c r="EU3" s="499"/>
      <c r="EV3" s="499"/>
      <c r="EW3" s="499"/>
      <c r="EX3" s="499"/>
      <c r="EY3" s="499"/>
      <c r="EZ3" s="499"/>
      <c r="FA3" s="499"/>
      <c r="FB3" s="499"/>
      <c r="FC3" s="499"/>
      <c r="FD3" s="499"/>
      <c r="FE3" s="499"/>
      <c r="FF3" s="474"/>
      <c r="FG3" s="474"/>
      <c r="FH3" s="474"/>
      <c r="FI3" s="474"/>
      <c r="FJ3" s="474"/>
      <c r="FK3" s="499"/>
      <c r="FL3" s="499"/>
      <c r="FM3" s="499"/>
      <c r="FN3" s="499"/>
      <c r="FO3" s="499"/>
      <c r="FP3" s="499"/>
      <c r="FQ3" s="499"/>
      <c r="FR3" s="499"/>
      <c r="FS3" s="499"/>
      <c r="FT3" s="499"/>
      <c r="FU3" s="499"/>
      <c r="FV3" s="499"/>
      <c r="FW3" s="499"/>
      <c r="FX3" s="499"/>
      <c r="FY3" s="499"/>
      <c r="FZ3" s="499"/>
      <c r="GA3" s="499"/>
      <c r="GB3" s="499"/>
      <c r="GC3" s="499"/>
      <c r="GD3" s="499"/>
      <c r="GE3" s="499"/>
      <c r="GF3" s="499"/>
      <c r="GG3" s="499"/>
      <c r="GH3" s="474"/>
      <c r="GI3" s="505"/>
      <c r="GJ3" s="474"/>
      <c r="GK3" s="499"/>
      <c r="GL3" s="474"/>
      <c r="GM3" s="474"/>
      <c r="GN3" s="499"/>
      <c r="GO3" s="499"/>
      <c r="GP3" s="499"/>
      <c r="GQ3" s="499"/>
      <c r="GR3" s="499"/>
      <c r="GS3" s="499"/>
      <c r="GT3" s="499"/>
      <c r="GU3" s="499"/>
      <c r="GV3" s="499"/>
      <c r="GW3" s="499"/>
      <c r="GX3" s="474"/>
      <c r="GY3" s="505"/>
      <c r="GZ3" s="474"/>
      <c r="HA3" s="499"/>
      <c r="HB3" s="499"/>
      <c r="HC3" s="499"/>
      <c r="HD3" s="499"/>
      <c r="HE3" s="474"/>
      <c r="HF3" s="505"/>
      <c r="HG3" s="474"/>
      <c r="HH3" s="499"/>
      <c r="HI3" s="499"/>
      <c r="HJ3" s="499"/>
      <c r="HK3" s="499"/>
      <c r="HL3" s="474"/>
      <c r="HM3" s="474"/>
      <c r="HN3" s="474"/>
      <c r="HO3" s="499"/>
      <c r="HP3" s="474"/>
      <c r="HQ3" s="476"/>
      <c r="HR3" s="474"/>
      <c r="HS3" s="474"/>
      <c r="HT3" s="474"/>
      <c r="HU3" s="474"/>
      <c r="HV3" s="474"/>
      <c r="HW3" s="474"/>
      <c r="HX3" s="474"/>
      <c r="HY3" s="474"/>
      <c r="HZ3" s="474"/>
      <c r="IA3" s="474"/>
      <c r="IB3" s="474"/>
      <c r="IC3" s="474"/>
      <c r="ID3" s="474"/>
      <c r="IE3" s="474"/>
      <c r="IF3" s="474"/>
      <c r="IG3" s="474"/>
      <c r="IH3" s="474"/>
      <c r="II3" s="474"/>
      <c r="IJ3" s="499"/>
      <c r="IK3" s="474"/>
      <c r="IM3" s="474"/>
      <c r="IN3" s="474"/>
      <c r="IO3" s="505"/>
      <c r="IP3" s="474"/>
      <c r="IQ3" s="474"/>
      <c r="IR3" s="474"/>
      <c r="IS3" s="474"/>
      <c r="IT3" s="474"/>
      <c r="IU3" s="474"/>
      <c r="IV3" s="505"/>
      <c r="IX3" s="474"/>
      <c r="IY3" s="474"/>
      <c r="IZ3" s="474"/>
      <c r="JB3" s="474"/>
      <c r="JC3" s="474"/>
      <c r="JD3" s="474"/>
      <c r="JE3" s="474"/>
      <c r="JF3" s="474"/>
      <c r="JG3" s="474"/>
      <c r="JH3" s="474"/>
      <c r="JI3" s="474"/>
      <c r="JJ3" s="505"/>
      <c r="JK3" s="474"/>
      <c r="JM3" s="474"/>
      <c r="JN3" s="474"/>
      <c r="JO3" s="474"/>
      <c r="JP3" s="474"/>
      <c r="JQ3" s="474"/>
      <c r="JS3" s="474"/>
      <c r="JT3" s="474"/>
      <c r="JU3" s="474"/>
      <c r="JV3" s="474"/>
      <c r="JW3" s="474"/>
      <c r="JX3" s="474"/>
      <c r="JY3" s="474"/>
      <c r="JZ3" s="474"/>
      <c r="KA3" s="474"/>
      <c r="KB3" s="474"/>
      <c r="KC3" s="475"/>
      <c r="KH3" s="474"/>
      <c r="KI3" s="474"/>
      <c r="KJ3" s="474"/>
      <c r="KK3" s="474"/>
      <c r="KL3" s="474"/>
      <c r="KM3" s="474"/>
      <c r="KN3" s="474"/>
      <c r="KO3" s="474"/>
      <c r="KP3" s="474"/>
      <c r="KQ3" s="474"/>
      <c r="KR3" s="474"/>
      <c r="KS3" s="474"/>
      <c r="KT3" s="474"/>
      <c r="KU3" s="474"/>
      <c r="KV3" s="474"/>
      <c r="KW3" s="474"/>
      <c r="KX3" s="474"/>
      <c r="KY3" s="474"/>
      <c r="KZ3" s="474"/>
      <c r="LA3" s="474"/>
      <c r="LB3" s="474"/>
      <c r="LC3" s="474"/>
      <c r="LD3" s="474"/>
      <c r="LE3" s="474"/>
      <c r="LF3" s="474"/>
      <c r="LG3" s="474"/>
      <c r="LH3" s="474"/>
      <c r="LI3" s="474"/>
      <c r="LJ3" s="474"/>
      <c r="LK3" s="474"/>
      <c r="LL3" s="474"/>
      <c r="LM3" s="474"/>
      <c r="LN3" s="474"/>
      <c r="LO3" s="474"/>
      <c r="LP3" s="474"/>
      <c r="LQ3" s="474"/>
      <c r="LR3" s="474"/>
      <c r="LS3" s="474"/>
      <c r="LT3" s="474"/>
      <c r="LU3" s="474"/>
      <c r="LV3" s="474"/>
      <c r="LW3" s="474"/>
      <c r="LX3" s="474"/>
      <c r="LY3" s="474"/>
      <c r="LZ3" s="474"/>
      <c r="MA3" s="474"/>
      <c r="MB3" s="474"/>
      <c r="MC3" s="474"/>
      <c r="MD3" s="474"/>
      <c r="ME3" s="474"/>
      <c r="MF3" s="474"/>
      <c r="MG3" s="474"/>
      <c r="MH3" s="475"/>
      <c r="MN3" s="474"/>
    </row>
    <row r="4" spans="1:392" s="414" customFormat="1" ht="24" customHeight="1">
      <c r="A4" s="1788" t="s">
        <v>1412</v>
      </c>
      <c r="B4" s="1789"/>
      <c r="C4" s="1789"/>
      <c r="D4" s="1789"/>
      <c r="E4" s="1789"/>
      <c r="F4" s="1789"/>
      <c r="G4" s="1789"/>
      <c r="H4" s="1789"/>
      <c r="I4" s="1789"/>
      <c r="J4" s="1789"/>
      <c r="K4" s="1800" t="s">
        <v>1413</v>
      </c>
      <c r="L4" s="1801"/>
      <c r="M4" s="1801"/>
      <c r="N4" s="1801"/>
      <c r="O4" s="1801"/>
      <c r="P4" s="1801"/>
      <c r="Q4" s="1801"/>
      <c r="R4" s="1801"/>
      <c r="S4" s="1801"/>
      <c r="T4" s="1801"/>
      <c r="U4" s="1802"/>
      <c r="V4" s="1802"/>
      <c r="W4" s="1802"/>
      <c r="X4" s="1802"/>
      <c r="Y4" s="1802"/>
      <c r="Z4" s="1802"/>
      <c r="AA4" s="1802"/>
      <c r="AB4" s="1802"/>
      <c r="AC4" s="1802"/>
      <c r="AD4" s="1802"/>
      <c r="AE4" s="454" t="s">
        <v>1414</v>
      </c>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529"/>
      <c r="DQ4" s="529"/>
      <c r="DR4" s="453"/>
      <c r="DS4" s="453"/>
      <c r="DT4" s="453"/>
      <c r="DU4" s="453"/>
      <c r="DV4" s="453"/>
      <c r="DW4" s="453"/>
      <c r="DX4" s="453"/>
      <c r="DY4" s="453"/>
      <c r="DZ4" s="453"/>
      <c r="EA4" s="453"/>
      <c r="EB4" s="453"/>
      <c r="EC4" s="453"/>
      <c r="ED4" s="453"/>
      <c r="EE4" s="453"/>
      <c r="EF4" s="453"/>
      <c r="EG4" s="453"/>
      <c r="EH4" s="453"/>
      <c r="EI4" s="453"/>
      <c r="EJ4" s="453"/>
      <c r="EK4" s="595" t="s">
        <v>1415</v>
      </c>
      <c r="EL4" s="543"/>
      <c r="EM4" s="543"/>
      <c r="EN4" s="543"/>
      <c r="EO4" s="543"/>
      <c r="EP4" s="532"/>
      <c r="EQ4" s="532"/>
      <c r="ER4" s="532"/>
      <c r="ES4" s="532"/>
      <c r="ET4" s="532"/>
      <c r="EU4" s="532"/>
      <c r="EV4" s="532"/>
      <c r="EW4" s="1789"/>
      <c r="EX4" s="1789"/>
      <c r="EY4" s="1789"/>
      <c r="EZ4" s="1789"/>
      <c r="FA4" s="1789"/>
      <c r="FB4" s="1789"/>
      <c r="FC4" s="1789"/>
      <c r="FD4" s="1789"/>
      <c r="FE4" s="1789"/>
      <c r="FF4" s="1789"/>
      <c r="FG4" s="1789"/>
      <c r="FH4" s="1789"/>
      <c r="FI4" s="1789"/>
      <c r="FJ4" s="1789"/>
      <c r="FK4" s="1789"/>
      <c r="FL4" s="1803"/>
      <c r="FM4" s="1803"/>
      <c r="FN4" s="1803"/>
      <c r="FO4" s="1803"/>
      <c r="FP4" s="1803"/>
      <c r="FQ4" s="1803"/>
      <c r="FR4" s="1803"/>
      <c r="FS4" s="1803"/>
      <c r="FT4" s="1803"/>
      <c r="FU4" s="1803"/>
      <c r="FV4" s="1803"/>
      <c r="FW4" s="1803"/>
      <c r="FX4" s="1803"/>
      <c r="FY4" s="1803"/>
      <c r="FZ4" s="1803"/>
      <c r="GA4" s="1803"/>
      <c r="GB4" s="1803"/>
      <c r="GC4" s="1803"/>
      <c r="GD4" s="1803"/>
      <c r="GE4" s="1803"/>
      <c r="GF4" s="1803"/>
      <c r="GG4" s="1803"/>
      <c r="GH4" s="1803"/>
      <c r="GI4" s="1803"/>
      <c r="GJ4" s="1803"/>
      <c r="GK4" s="1803"/>
      <c r="GL4" s="1803"/>
      <c r="GM4" s="1803"/>
      <c r="GN4" s="1803"/>
      <c r="GO4" s="1803"/>
      <c r="GP4" s="1803"/>
      <c r="GQ4" s="1803"/>
      <c r="GR4" s="1803"/>
      <c r="GS4" s="1803"/>
      <c r="GT4" s="1803"/>
      <c r="GU4" s="1803"/>
      <c r="GV4" s="1803"/>
      <c r="GW4" s="1803"/>
      <c r="GX4" s="1803"/>
      <c r="GY4" s="1803"/>
      <c r="GZ4" s="1803"/>
      <c r="HA4" s="1803"/>
      <c r="HB4" s="1803"/>
      <c r="HC4" s="1803"/>
      <c r="HD4" s="1803"/>
      <c r="HE4" s="1803"/>
      <c r="HF4" s="1803"/>
      <c r="HG4" s="1803"/>
      <c r="HH4" s="1803"/>
      <c r="HI4" s="1803"/>
      <c r="HJ4" s="1803"/>
      <c r="HK4" s="1803"/>
      <c r="HL4" s="1800" t="s">
        <v>1416</v>
      </c>
      <c r="HM4" s="1801"/>
      <c r="HN4" s="1801"/>
      <c r="HO4" s="1801"/>
      <c r="HP4" s="1801"/>
      <c r="HQ4" s="1801"/>
      <c r="HR4" s="1801"/>
      <c r="HS4" s="1801"/>
      <c r="HT4" s="1801"/>
      <c r="HU4" s="1801"/>
      <c r="HV4" s="1801"/>
      <c r="HW4" s="1801"/>
      <c r="HX4" s="1801"/>
      <c r="HY4" s="1801"/>
      <c r="HZ4" s="1801"/>
      <c r="IA4" s="1801"/>
      <c r="IB4" s="1801"/>
      <c r="IC4" s="1801"/>
      <c r="ID4" s="1801"/>
      <c r="IE4" s="1801"/>
      <c r="IF4" s="1801"/>
      <c r="IG4" s="1801"/>
      <c r="IH4" s="1801"/>
      <c r="II4" s="1801"/>
      <c r="IJ4" s="1801"/>
      <c r="IK4" s="1801"/>
      <c r="IL4" s="1804" t="s">
        <v>1417</v>
      </c>
      <c r="IM4" s="1805"/>
      <c r="IN4" s="1805"/>
      <c r="IO4" s="1805"/>
      <c r="IP4" s="1805"/>
      <c r="IQ4" s="1805"/>
      <c r="IR4" s="1805"/>
      <c r="IS4" s="1805"/>
      <c r="IT4" s="1805"/>
      <c r="IU4" s="1805"/>
      <c r="IV4" s="1805"/>
      <c r="IW4" s="1805"/>
      <c r="IX4" s="1805"/>
      <c r="IY4" s="1805"/>
      <c r="IZ4" s="1805"/>
      <c r="JA4" s="1805"/>
      <c r="JB4" s="1805"/>
      <c r="JC4" s="1805"/>
      <c r="JD4" s="1805"/>
      <c r="JE4" s="1805"/>
      <c r="JF4" s="1805"/>
      <c r="JG4" s="1805"/>
      <c r="JH4" s="1805"/>
      <c r="JI4" s="1805"/>
      <c r="JJ4" s="1805"/>
      <c r="JK4" s="1805"/>
      <c r="JL4" s="1805"/>
      <c r="JM4" s="1805"/>
      <c r="JN4" s="1805"/>
      <c r="JO4" s="1805"/>
      <c r="JP4" s="1805"/>
      <c r="JQ4" s="1805"/>
      <c r="JR4" s="1805"/>
      <c r="JS4" s="1805"/>
      <c r="JT4" s="1805"/>
      <c r="JU4" s="1805"/>
      <c r="JV4" s="1805"/>
      <c r="JW4" s="1805"/>
      <c r="JX4" s="1805"/>
      <c r="JY4" s="1805"/>
      <c r="JZ4" s="1805"/>
      <c r="KA4" s="1805"/>
      <c r="KB4" s="1805"/>
      <c r="KC4" s="1806"/>
      <c r="KD4" s="1788" t="s">
        <v>1418</v>
      </c>
      <c r="KE4" s="1789"/>
      <c r="KF4" s="1789"/>
      <c r="KG4" s="1789"/>
      <c r="KH4" s="1789"/>
      <c r="KI4" s="1789"/>
      <c r="KJ4" s="1789"/>
      <c r="KK4" s="1789"/>
      <c r="KL4" s="1789"/>
      <c r="KM4" s="1789"/>
      <c r="KN4" s="1789"/>
      <c r="KO4" s="1789"/>
      <c r="KP4" s="1789"/>
      <c r="KQ4" s="1789"/>
      <c r="KR4" s="1789"/>
      <c r="KS4" s="1789"/>
      <c r="KT4" s="1789"/>
      <c r="KU4" s="1789"/>
      <c r="KV4" s="1789"/>
      <c r="KW4" s="1789"/>
      <c r="KX4" s="1789"/>
      <c r="KY4" s="1789"/>
      <c r="KZ4" s="1789"/>
      <c r="LA4" s="1789"/>
      <c r="LB4" s="1789"/>
      <c r="LC4" s="1789"/>
      <c r="LD4" s="1789"/>
      <c r="LE4" s="1789"/>
      <c r="LF4" s="1789"/>
      <c r="LG4" s="1789"/>
      <c r="LH4" s="1789"/>
      <c r="LI4" s="1789"/>
      <c r="LJ4" s="1789"/>
      <c r="LK4" s="1789"/>
      <c r="LL4" s="1789"/>
      <c r="LM4" s="1789"/>
      <c r="LN4" s="1789"/>
      <c r="LO4" s="1789"/>
      <c r="LP4" s="1789"/>
      <c r="LQ4" s="1789"/>
      <c r="LR4" s="1789"/>
      <c r="LS4" s="1789"/>
      <c r="LT4" s="1789"/>
      <c r="LU4" s="1789"/>
      <c r="LV4" s="1789"/>
      <c r="LW4" s="1789"/>
      <c r="LX4" s="1789"/>
      <c r="LY4" s="1789"/>
      <c r="LZ4" s="1789"/>
      <c r="MA4" s="1789"/>
      <c r="MB4" s="1789"/>
      <c r="MC4" s="1789"/>
      <c r="MD4" s="1789"/>
      <c r="ME4" s="1789"/>
      <c r="MF4" s="1789"/>
      <c r="MG4" s="1789"/>
      <c r="MH4" s="1789"/>
      <c r="MI4" s="1789"/>
      <c r="MJ4" s="1789"/>
      <c r="MK4" s="1789"/>
      <c r="ML4" s="1789"/>
      <c r="MM4" s="1789"/>
      <c r="MN4" s="1789"/>
      <c r="MO4" s="1789"/>
      <c r="MP4" s="1789"/>
      <c r="MQ4" s="1789"/>
      <c r="MR4" s="1789"/>
      <c r="MS4" s="1789"/>
      <c r="MT4" s="1789"/>
      <c r="MU4" s="1789"/>
      <c r="MV4" s="1789"/>
      <c r="MW4" s="1789"/>
      <c r="MX4" s="1789"/>
      <c r="MY4" s="1789"/>
      <c r="MZ4" s="1789"/>
      <c r="NA4" s="1789"/>
      <c r="NB4" s="1789"/>
      <c r="NC4" s="1789"/>
      <c r="ND4" s="1789"/>
      <c r="NE4" s="1789"/>
      <c r="NF4" s="1789"/>
      <c r="NG4" s="1789"/>
      <c r="NH4" s="1789"/>
      <c r="NI4" s="1789"/>
      <c r="NJ4" s="1789"/>
      <c r="NK4" s="1789"/>
      <c r="NL4" s="1789"/>
      <c r="NM4" s="1789"/>
      <c r="NN4" s="1789"/>
      <c r="NO4" s="1789"/>
      <c r="NP4" s="1789"/>
      <c r="NQ4" s="1789"/>
      <c r="NR4" s="1789"/>
      <c r="NS4" s="1789"/>
      <c r="NT4" s="1789"/>
      <c r="NU4" s="1789"/>
      <c r="NV4" s="1789"/>
      <c r="NW4" s="1789"/>
      <c r="NX4" s="1789"/>
      <c r="NY4" s="1789"/>
      <c r="NZ4" s="1789"/>
      <c r="OA4" s="1789"/>
      <c r="OB4" s="1584" t="s">
        <v>1419</v>
      </c>
    </row>
    <row r="5" spans="1:392" s="414" customFormat="1" ht="13.5" customHeight="1">
      <c r="A5" s="1790" t="s">
        <v>1420</v>
      </c>
      <c r="B5" s="1792" t="s">
        <v>2</v>
      </c>
      <c r="C5" s="1792" t="s">
        <v>1421</v>
      </c>
      <c r="D5" s="1790" t="s">
        <v>1422</v>
      </c>
      <c r="E5" s="1794" t="s">
        <v>1423</v>
      </c>
      <c r="F5" s="430"/>
      <c r="G5" s="1795" t="s">
        <v>1424</v>
      </c>
      <c r="H5" s="1798" t="s">
        <v>1425</v>
      </c>
      <c r="I5" s="1792" t="s">
        <v>1426</v>
      </c>
      <c r="J5" s="1811" t="s">
        <v>1427</v>
      </c>
      <c r="K5" s="1813" t="s">
        <v>1428</v>
      </c>
      <c r="L5" s="431"/>
      <c r="M5" s="512"/>
      <c r="N5" s="512"/>
      <c r="O5" s="512"/>
      <c r="P5" s="513"/>
      <c r="Q5" s="513"/>
      <c r="R5" s="513"/>
      <c r="S5" s="514"/>
      <c r="T5" s="455"/>
      <c r="U5" s="510"/>
      <c r="V5" s="510"/>
      <c r="W5" s="510"/>
      <c r="X5" s="510"/>
      <c r="Y5" s="510"/>
      <c r="Z5" s="510"/>
      <c r="AA5" s="510"/>
      <c r="AB5" s="510"/>
      <c r="AC5" s="510"/>
      <c r="AD5" s="511"/>
      <c r="AE5" s="1814" t="s">
        <v>115</v>
      </c>
      <c r="AF5" s="1817" t="s">
        <v>1429</v>
      </c>
      <c r="AG5" s="432" t="s">
        <v>1430</v>
      </c>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96"/>
      <c r="DP5" s="1862" t="s">
        <v>1431</v>
      </c>
      <c r="DQ5" s="168"/>
      <c r="DR5" s="1863" t="s">
        <v>1432</v>
      </c>
      <c r="DS5" s="1864"/>
      <c r="DT5" s="1864"/>
      <c r="DU5" s="1864"/>
      <c r="DV5" s="1864"/>
      <c r="DW5" s="1864"/>
      <c r="DX5" s="1864"/>
      <c r="DY5" s="1864"/>
      <c r="DZ5" s="1864"/>
      <c r="EA5" s="1864"/>
      <c r="EB5" s="1865"/>
      <c r="EC5" s="1791" t="s">
        <v>1433</v>
      </c>
      <c r="ED5" s="1791"/>
      <c r="EE5" s="1791"/>
      <c r="EF5" s="1791"/>
      <c r="EG5" s="1791"/>
      <c r="EH5" s="1790" t="s">
        <v>1434</v>
      </c>
      <c r="EI5" s="1866"/>
      <c r="EJ5" s="1798" t="s">
        <v>1435</v>
      </c>
      <c r="EK5" s="1835" t="s">
        <v>1436</v>
      </c>
      <c r="EL5" s="1836"/>
      <c r="EM5" s="1836"/>
      <c r="EN5" s="1836"/>
      <c r="EO5" s="1836"/>
      <c r="EP5" s="163"/>
      <c r="EQ5" s="424"/>
      <c r="ER5" s="424"/>
      <c r="ES5" s="424"/>
      <c r="ET5" s="424"/>
      <c r="EU5" s="424"/>
      <c r="EV5" s="424"/>
      <c r="EW5" s="1839"/>
      <c r="EX5" s="1839"/>
      <c r="EY5" s="1839"/>
      <c r="EZ5" s="1839"/>
      <c r="FA5" s="1839"/>
      <c r="FB5" s="1839"/>
      <c r="FC5" s="1839"/>
      <c r="FD5" s="1839"/>
      <c r="FE5" s="1840"/>
      <c r="FF5" s="1835" t="s">
        <v>1437</v>
      </c>
      <c r="FG5" s="1836"/>
      <c r="FH5" s="1836"/>
      <c r="FI5" s="1836"/>
      <c r="FJ5" s="1836"/>
      <c r="FK5" s="163"/>
      <c r="FL5" s="1839"/>
      <c r="FM5" s="1839"/>
      <c r="FN5" s="1839"/>
      <c r="FO5" s="1839"/>
      <c r="FP5" s="1839"/>
      <c r="FQ5" s="1839"/>
      <c r="FR5" s="1839"/>
      <c r="FS5" s="1839"/>
      <c r="FT5" s="1839"/>
      <c r="FU5" s="1839"/>
      <c r="FV5" s="1839"/>
      <c r="FW5" s="1839"/>
      <c r="FX5" s="1839"/>
      <c r="FY5" s="1839"/>
      <c r="FZ5" s="1839"/>
      <c r="GA5" s="1839"/>
      <c r="GB5" s="1839"/>
      <c r="GC5" s="1839"/>
      <c r="GD5" s="1839"/>
      <c r="GE5" s="1839"/>
      <c r="GF5" s="1839"/>
      <c r="GG5" s="1839"/>
      <c r="GH5" s="1835" t="s">
        <v>1438</v>
      </c>
      <c r="GI5" s="1849"/>
      <c r="GJ5" s="1849"/>
      <c r="GK5" s="1849"/>
      <c r="GL5" s="1849"/>
      <c r="GM5" s="1849"/>
      <c r="GN5" s="1839"/>
      <c r="GO5" s="1839"/>
      <c r="GP5" s="1839"/>
      <c r="GQ5" s="1839"/>
      <c r="GR5" s="1839"/>
      <c r="GS5" s="1839"/>
      <c r="GT5" s="1839"/>
      <c r="GU5" s="1839"/>
      <c r="GV5" s="1839"/>
      <c r="GW5" s="1840"/>
      <c r="GX5" s="1835" t="s">
        <v>1439</v>
      </c>
      <c r="GY5" s="1836"/>
      <c r="GZ5" s="1836"/>
      <c r="HA5" s="163"/>
      <c r="HB5" s="1839"/>
      <c r="HC5" s="1839"/>
      <c r="HD5" s="1840"/>
      <c r="HE5" s="1835" t="s">
        <v>1440</v>
      </c>
      <c r="HF5" s="1849"/>
      <c r="HG5" s="1849"/>
      <c r="HH5" s="1849"/>
      <c r="HI5" s="1849"/>
      <c r="HJ5" s="1849"/>
      <c r="HK5" s="1885"/>
      <c r="HL5" s="1887" t="s">
        <v>1441</v>
      </c>
      <c r="HM5" s="1888"/>
      <c r="HN5" s="1891" t="s">
        <v>1442</v>
      </c>
      <c r="HO5" s="534"/>
      <c r="HP5" s="533"/>
      <c r="HQ5" s="506"/>
      <c r="HR5" s="1893" t="s">
        <v>1443</v>
      </c>
      <c r="HS5" s="1879" t="s">
        <v>1444</v>
      </c>
      <c r="HT5" s="1880"/>
      <c r="HU5" s="1880"/>
      <c r="HV5" s="1880"/>
      <c r="HW5" s="1880"/>
      <c r="HX5" s="1880"/>
      <c r="HY5" s="1880"/>
      <c r="HZ5" s="1880"/>
      <c r="IA5" s="1880"/>
      <c r="IB5" s="1880"/>
      <c r="IC5" s="1880"/>
      <c r="ID5" s="1880"/>
      <c r="IE5" s="1880"/>
      <c r="IF5" s="1880"/>
      <c r="IG5" s="1880"/>
      <c r="IH5" s="1880"/>
      <c r="II5" s="1880"/>
      <c r="IJ5" s="1880"/>
      <c r="IK5" s="1880"/>
      <c r="IL5" s="1879" t="s">
        <v>1445</v>
      </c>
      <c r="IM5" s="1880"/>
      <c r="IN5" s="1880"/>
      <c r="IO5" s="1880"/>
      <c r="IP5" s="1880"/>
      <c r="IQ5" s="1880"/>
      <c r="IR5" s="1880"/>
      <c r="IS5" s="1880"/>
      <c r="IT5" s="1880"/>
      <c r="IU5" s="1880"/>
      <c r="IV5" s="1880"/>
      <c r="IW5" s="1880"/>
      <c r="IX5" s="1880"/>
      <c r="IY5" s="1880"/>
      <c r="IZ5" s="1880"/>
      <c r="JA5" s="1880"/>
      <c r="JB5" s="1880"/>
      <c r="JC5" s="1880"/>
      <c r="JD5" s="1880"/>
      <c r="JE5" s="1880"/>
      <c r="JF5" s="1880"/>
      <c r="JG5" s="1880"/>
      <c r="JH5" s="1880"/>
      <c r="JI5" s="1880"/>
      <c r="JJ5" s="1880"/>
      <c r="JK5" s="1881"/>
      <c r="JL5" s="1882" t="s">
        <v>1446</v>
      </c>
      <c r="JM5" s="1883"/>
      <c r="JN5" s="1883"/>
      <c r="JO5" s="1883"/>
      <c r="JP5" s="1883"/>
      <c r="JQ5" s="1883"/>
      <c r="JR5" s="1883"/>
      <c r="JS5" s="1883"/>
      <c r="JT5" s="1883"/>
      <c r="JU5" s="1883"/>
      <c r="JV5" s="1883"/>
      <c r="JW5" s="1883"/>
      <c r="JX5" s="1883"/>
      <c r="JY5" s="1883"/>
      <c r="JZ5" s="1883"/>
      <c r="KA5" s="1883"/>
      <c r="KB5" s="1883"/>
      <c r="KC5" s="1884"/>
      <c r="KD5" s="368" t="s">
        <v>1447</v>
      </c>
      <c r="KE5" s="369"/>
      <c r="KF5" s="369"/>
      <c r="KG5" s="369"/>
      <c r="KH5" s="369"/>
      <c r="KI5" s="369"/>
      <c r="KJ5" s="369"/>
      <c r="KK5" s="369"/>
      <c r="KL5" s="369"/>
      <c r="KM5" s="369"/>
      <c r="KN5" s="369"/>
      <c r="KO5" s="369"/>
      <c r="KP5" s="369"/>
      <c r="KQ5" s="369"/>
      <c r="KR5" s="369"/>
      <c r="KS5" s="369"/>
      <c r="KT5" s="369"/>
      <c r="KU5" s="369"/>
      <c r="KV5" s="369"/>
      <c r="KW5" s="369"/>
      <c r="KX5" s="369"/>
      <c r="KY5" s="369"/>
      <c r="KZ5" s="369"/>
      <c r="LA5" s="369"/>
      <c r="LB5" s="369"/>
      <c r="LC5" s="369"/>
      <c r="LD5" s="369"/>
      <c r="LE5" s="369"/>
      <c r="LF5" s="369"/>
      <c r="LG5" s="369"/>
      <c r="LH5" s="369"/>
      <c r="LI5" s="369"/>
      <c r="LJ5" s="369"/>
      <c r="LK5" s="369"/>
      <c r="LL5" s="369"/>
      <c r="LM5" s="369"/>
      <c r="LN5" s="369"/>
      <c r="LO5" s="369"/>
      <c r="LP5" s="369"/>
      <c r="LQ5" s="369"/>
      <c r="LR5"/>
      <c r="LS5"/>
      <c r="LT5"/>
      <c r="LU5"/>
      <c r="LV5"/>
      <c r="LW5"/>
      <c r="LX5"/>
      <c r="LY5"/>
      <c r="LZ5"/>
      <c r="MA5"/>
      <c r="MB5"/>
      <c r="MC5"/>
      <c r="MD5"/>
      <c r="ME5"/>
      <c r="MF5"/>
      <c r="MG5"/>
      <c r="MH5" s="417"/>
      <c r="OB5" s="1585"/>
    </row>
    <row r="6" spans="1:392" s="414" customFormat="1" ht="29.25" customHeight="1">
      <c r="A6" s="1791"/>
      <c r="B6" s="1793"/>
      <c r="C6" s="1793"/>
      <c r="D6" s="1791"/>
      <c r="E6" s="1794"/>
      <c r="F6" s="1826" t="s">
        <v>1448</v>
      </c>
      <c r="G6" s="1796"/>
      <c r="H6" s="1799"/>
      <c r="I6" s="1793"/>
      <c r="J6" s="1812"/>
      <c r="K6" s="1813"/>
      <c r="L6" s="479"/>
      <c r="M6" s="1829" t="s">
        <v>1449</v>
      </c>
      <c r="N6" s="1832" t="s">
        <v>1450</v>
      </c>
      <c r="O6" s="1832" t="s">
        <v>1451</v>
      </c>
      <c r="P6" s="1793" t="s">
        <v>1452</v>
      </c>
      <c r="Q6" s="1798" t="s">
        <v>1453</v>
      </c>
      <c r="R6" s="1793" t="s">
        <v>1454</v>
      </c>
      <c r="S6" s="1793" t="s">
        <v>1455</v>
      </c>
      <c r="T6" s="1821" t="s">
        <v>1456</v>
      </c>
      <c r="U6" s="1823" t="s">
        <v>1457</v>
      </c>
      <c r="V6" s="1823" t="s">
        <v>1458</v>
      </c>
      <c r="W6" s="1823" t="s">
        <v>1459</v>
      </c>
      <c r="X6" s="1823" t="s">
        <v>1460</v>
      </c>
      <c r="Y6" s="1823" t="s">
        <v>1461</v>
      </c>
      <c r="Z6" s="1823" t="s">
        <v>1462</v>
      </c>
      <c r="AA6" s="1823" t="s">
        <v>1463</v>
      </c>
      <c r="AB6" s="1823" t="s">
        <v>1464</v>
      </c>
      <c r="AC6" s="1823" t="s">
        <v>1465</v>
      </c>
      <c r="AD6" s="1823" t="s">
        <v>1466</v>
      </c>
      <c r="AE6" s="1815"/>
      <c r="AF6" s="1818"/>
      <c r="AG6" s="432" t="s">
        <v>1467</v>
      </c>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2"/>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1830"/>
      <c r="DQ6" s="1869" t="s">
        <v>1468</v>
      </c>
      <c r="DR6" s="1870" t="s">
        <v>1469</v>
      </c>
      <c r="DS6" s="1871" t="s">
        <v>1470</v>
      </c>
      <c r="DT6" s="1872"/>
      <c r="DU6" s="1872"/>
      <c r="DV6" s="1872"/>
      <c r="DW6" s="1872"/>
      <c r="DX6" s="1873"/>
      <c r="DY6" s="1871" t="s">
        <v>1471</v>
      </c>
      <c r="DZ6" s="1872"/>
      <c r="EA6" s="1872"/>
      <c r="EB6" s="1873"/>
      <c r="EC6" s="1791"/>
      <c r="ED6" s="1791"/>
      <c r="EE6" s="1791"/>
      <c r="EF6" s="1791"/>
      <c r="EG6" s="1791"/>
      <c r="EH6" s="1791"/>
      <c r="EI6" s="1867"/>
      <c r="EJ6" s="1799"/>
      <c r="EK6" s="1837"/>
      <c r="EL6" s="1838"/>
      <c r="EM6" s="1838"/>
      <c r="EN6" s="1838"/>
      <c r="EO6" s="1838"/>
      <c r="EP6" s="164"/>
      <c r="EQ6" s="421" t="s">
        <v>1472</v>
      </c>
      <c r="ER6" s="422"/>
      <c r="ES6" s="422"/>
      <c r="ET6" s="422"/>
      <c r="EU6" s="422"/>
      <c r="EV6" s="423"/>
      <c r="EW6" s="1838"/>
      <c r="EX6" s="1838"/>
      <c r="EY6" s="1838"/>
      <c r="EZ6" s="1838"/>
      <c r="FA6" s="1838"/>
      <c r="FB6" s="1838"/>
      <c r="FC6" s="1838"/>
      <c r="FD6" s="1838"/>
      <c r="FE6" s="1841"/>
      <c r="FF6" s="1837"/>
      <c r="FG6" s="1838"/>
      <c r="FH6" s="1838"/>
      <c r="FI6" s="1838"/>
      <c r="FJ6" s="1838"/>
      <c r="FK6" s="164"/>
      <c r="FL6" s="1838"/>
      <c r="FM6" s="1838"/>
      <c r="FN6" s="1838"/>
      <c r="FO6" s="1838"/>
      <c r="FP6" s="1838"/>
      <c r="FQ6" s="1838"/>
      <c r="FR6" s="1838"/>
      <c r="FS6" s="1838"/>
      <c r="FT6" s="1838"/>
      <c r="FU6" s="1838"/>
      <c r="FV6" s="1838"/>
      <c r="FW6" s="1838"/>
      <c r="FX6" s="1838"/>
      <c r="FY6" s="1838"/>
      <c r="FZ6" s="1838"/>
      <c r="GA6" s="1838"/>
      <c r="GB6" s="1838"/>
      <c r="GC6" s="1838"/>
      <c r="GD6" s="1838"/>
      <c r="GE6" s="1838"/>
      <c r="GF6" s="1838"/>
      <c r="GG6" s="1838"/>
      <c r="GH6" s="1850"/>
      <c r="GI6" s="1851"/>
      <c r="GJ6" s="1851"/>
      <c r="GK6" s="1851"/>
      <c r="GL6" s="1851"/>
      <c r="GM6" s="1851"/>
      <c r="GN6" s="1838"/>
      <c r="GO6" s="1838"/>
      <c r="GP6" s="1838"/>
      <c r="GQ6" s="1838"/>
      <c r="GR6" s="1838"/>
      <c r="GS6" s="1838"/>
      <c r="GT6" s="1838"/>
      <c r="GU6" s="1838"/>
      <c r="GV6" s="1838"/>
      <c r="GW6" s="1841"/>
      <c r="GX6" s="1837"/>
      <c r="GY6" s="1838"/>
      <c r="GZ6" s="1838"/>
      <c r="HA6" s="164"/>
      <c r="HB6" s="1838"/>
      <c r="HC6" s="1838"/>
      <c r="HD6" s="1841"/>
      <c r="HE6" s="1850"/>
      <c r="HF6" s="1851"/>
      <c r="HG6" s="1851"/>
      <c r="HH6" s="1851"/>
      <c r="HI6" s="1851"/>
      <c r="HJ6" s="1851"/>
      <c r="HK6" s="1886"/>
      <c r="HL6" s="1889"/>
      <c r="HM6" s="1890"/>
      <c r="HN6" s="1891"/>
      <c r="HO6" s="1896" t="s">
        <v>1473</v>
      </c>
      <c r="HP6" s="1899" t="s">
        <v>1474</v>
      </c>
      <c r="HQ6" s="525"/>
      <c r="HR6" s="1894"/>
      <c r="HS6" s="1791" t="s">
        <v>1475</v>
      </c>
      <c r="HT6" s="1907" t="s">
        <v>1476</v>
      </c>
      <c r="HU6" s="1791" t="s">
        <v>1477</v>
      </c>
      <c r="HV6" s="1816" t="s">
        <v>1478</v>
      </c>
      <c r="HW6" s="1907" t="s">
        <v>1059</v>
      </c>
      <c r="HX6" s="1907" t="s">
        <v>1479</v>
      </c>
      <c r="HY6" s="1813" t="s">
        <v>1480</v>
      </c>
      <c r="HZ6" s="1813" t="s">
        <v>1481</v>
      </c>
      <c r="IA6" s="1907" t="s">
        <v>1482</v>
      </c>
      <c r="IB6" s="1907" t="s">
        <v>1483</v>
      </c>
      <c r="IC6" s="1907" t="s">
        <v>1484</v>
      </c>
      <c r="ID6" s="1907" t="s">
        <v>1485</v>
      </c>
      <c r="IE6" s="1907" t="s">
        <v>1486</v>
      </c>
      <c r="IF6" s="1907" t="s">
        <v>1487</v>
      </c>
      <c r="IG6" s="1816" t="s">
        <v>1488</v>
      </c>
      <c r="IH6" s="1816" t="s">
        <v>1489</v>
      </c>
      <c r="II6" s="1791" t="s">
        <v>1455</v>
      </c>
      <c r="IJ6" s="1912" t="s">
        <v>1490</v>
      </c>
      <c r="IK6" s="361"/>
      <c r="IL6" s="1920" t="s">
        <v>1491</v>
      </c>
      <c r="IM6" s="1920"/>
      <c r="IN6" s="1920"/>
      <c r="IO6" s="1920"/>
      <c r="IP6" s="1920"/>
      <c r="IQ6" s="1920"/>
      <c r="IR6" s="1920"/>
      <c r="IS6" s="1920"/>
      <c r="IT6" s="1920"/>
      <c r="IU6" s="1920"/>
      <c r="IV6" s="1920"/>
      <c r="IW6" s="1920"/>
      <c r="IX6" s="1920"/>
      <c r="IY6" s="1920"/>
      <c r="IZ6" s="1920"/>
      <c r="JA6" s="1920" t="s">
        <v>1492</v>
      </c>
      <c r="JB6" s="1920"/>
      <c r="JC6" s="1920"/>
      <c r="JD6" s="1920"/>
      <c r="JE6" s="1920"/>
      <c r="JF6" s="1920"/>
      <c r="JG6" s="1920"/>
      <c r="JH6" s="1920"/>
      <c r="JI6" s="1920"/>
      <c r="JJ6" s="1920"/>
      <c r="JK6" s="1920"/>
      <c r="JL6" s="1868" t="s">
        <v>1493</v>
      </c>
      <c r="JM6" s="1871" t="s">
        <v>1494</v>
      </c>
      <c r="JN6" s="1872"/>
      <c r="JO6" s="1872"/>
      <c r="JP6" s="1872"/>
      <c r="JQ6" s="1873"/>
      <c r="JR6" s="1868" t="s">
        <v>1495</v>
      </c>
      <c r="JS6" s="1921" t="s">
        <v>1496</v>
      </c>
      <c r="JT6" s="1922"/>
      <c r="JU6" s="1922"/>
      <c r="JV6" s="1922"/>
      <c r="JW6" s="1922"/>
      <c r="JX6" s="1922"/>
      <c r="JY6" s="1922"/>
      <c r="JZ6" s="1922"/>
      <c r="KA6" s="1922"/>
      <c r="KB6" s="1922"/>
      <c r="KC6" s="1923"/>
      <c r="KD6" s="370" t="s">
        <v>1497</v>
      </c>
      <c r="KE6" s="1913" t="s">
        <v>1498</v>
      </c>
      <c r="KF6" s="1913"/>
      <c r="KG6" s="1913"/>
      <c r="KH6" s="516" t="s">
        <v>1499</v>
      </c>
      <c r="KI6" s="517"/>
      <c r="KJ6" s="517"/>
      <c r="KK6" s="517"/>
      <c r="KL6" s="517"/>
      <c r="KM6" s="517"/>
      <c r="KN6" s="517"/>
      <c r="KO6" s="517"/>
      <c r="KP6" s="517"/>
      <c r="KQ6" s="517"/>
      <c r="KR6" s="517"/>
      <c r="KS6" s="517"/>
      <c r="KT6" s="517"/>
      <c r="KU6" s="517"/>
      <c r="KV6" s="517"/>
      <c r="KW6" s="517"/>
      <c r="KX6" s="517"/>
      <c r="KY6" s="517"/>
      <c r="KZ6" s="517"/>
      <c r="LA6" s="517"/>
      <c r="LB6" s="517"/>
      <c r="LC6" s="517"/>
      <c r="LD6" s="517"/>
      <c r="LE6" s="517"/>
      <c r="LF6" s="517"/>
      <c r="LG6" s="517"/>
      <c r="LH6" s="517"/>
      <c r="LI6" s="517"/>
      <c r="LJ6" s="517"/>
      <c r="LK6" s="517"/>
      <c r="LL6" s="517"/>
      <c r="LM6" s="517"/>
      <c r="LN6" s="517"/>
      <c r="LO6" s="517"/>
      <c r="LP6" s="517"/>
      <c r="LQ6" s="516" t="s">
        <v>1500</v>
      </c>
      <c r="LR6" s="517"/>
      <c r="LS6" s="517"/>
      <c r="LT6" s="517"/>
      <c r="LU6" s="517"/>
      <c r="LV6" s="517"/>
      <c r="LW6" s="517"/>
      <c r="LX6" s="517"/>
      <c r="LY6" s="517"/>
      <c r="LZ6" s="517"/>
      <c r="MA6" s="517"/>
      <c r="MB6" s="517"/>
      <c r="MC6" s="517"/>
      <c r="MD6" s="517"/>
      <c r="ME6" s="517"/>
      <c r="MF6" s="517"/>
      <c r="MG6" s="517"/>
      <c r="MH6" s="417"/>
      <c r="MI6" s="417"/>
      <c r="MJ6" s="417"/>
      <c r="MK6" s="417"/>
      <c r="ML6" s="417"/>
      <c r="MM6" s="417"/>
      <c r="MN6" s="515"/>
      <c r="MO6" s="364" t="s">
        <v>1501</v>
      </c>
      <c r="MP6" s="417"/>
      <c r="MQ6" s="417"/>
      <c r="MR6" s="417"/>
      <c r="MS6" s="417"/>
      <c r="MT6" s="417"/>
      <c r="MU6" s="417"/>
      <c r="MV6" s="417"/>
      <c r="MW6" s="417"/>
      <c r="MX6" s="417"/>
      <c r="MY6" s="417"/>
      <c r="MZ6" s="417"/>
      <c r="NA6" s="417"/>
      <c r="NB6" s="417"/>
      <c r="NC6" s="417"/>
      <c r="ND6" s="417"/>
      <c r="NE6" s="417"/>
      <c r="NF6" s="417"/>
      <c r="NG6" s="417"/>
      <c r="NH6" s="417"/>
      <c r="NI6" s="417"/>
      <c r="NJ6" s="417"/>
      <c r="NK6" s="417"/>
      <c r="NL6" s="417"/>
      <c r="NM6" s="417"/>
      <c r="NN6" s="417"/>
      <c r="NO6" s="417"/>
      <c r="NP6" s="417"/>
      <c r="NQ6" s="417"/>
      <c r="NR6" s="417"/>
      <c r="NS6" s="417"/>
      <c r="NT6" s="417"/>
      <c r="NU6" s="417"/>
      <c r="NV6" s="417"/>
      <c r="NW6" s="417"/>
      <c r="NX6" s="417"/>
      <c r="NY6" s="417"/>
      <c r="NZ6" s="417"/>
      <c r="OA6" s="417"/>
      <c r="OB6" s="1585"/>
    </row>
    <row r="7" spans="1:392" s="414" customFormat="1" ht="30" customHeight="1">
      <c r="A7" s="1791"/>
      <c r="B7" s="1793"/>
      <c r="C7" s="1793"/>
      <c r="D7" s="1791"/>
      <c r="E7" s="1794"/>
      <c r="F7" s="1827"/>
      <c r="G7" s="1796"/>
      <c r="H7" s="1799"/>
      <c r="I7" s="1793"/>
      <c r="J7" s="1812"/>
      <c r="K7" s="1813"/>
      <c r="L7" s="1793" t="s">
        <v>1502</v>
      </c>
      <c r="M7" s="1830"/>
      <c r="N7" s="1833"/>
      <c r="O7" s="1833"/>
      <c r="P7" s="1793"/>
      <c r="Q7" s="1799"/>
      <c r="R7" s="1793"/>
      <c r="S7" s="1793"/>
      <c r="T7" s="1822"/>
      <c r="U7" s="1824"/>
      <c r="V7" s="1824"/>
      <c r="W7" s="1824"/>
      <c r="X7" s="1824"/>
      <c r="Y7" s="1824"/>
      <c r="Z7" s="1824"/>
      <c r="AA7" s="1824"/>
      <c r="AB7" s="1824"/>
      <c r="AC7" s="1824"/>
      <c r="AD7" s="1824"/>
      <c r="AE7" s="1815"/>
      <c r="AF7" s="1819"/>
      <c r="AG7" s="1868" t="s">
        <v>1503</v>
      </c>
      <c r="AH7" s="497"/>
      <c r="AI7" s="497"/>
      <c r="AJ7" s="497"/>
      <c r="AK7" s="497"/>
      <c r="AL7" s="497"/>
      <c r="AM7" s="161"/>
      <c r="AN7" s="1868" t="s">
        <v>1504</v>
      </c>
      <c r="AO7" s="497"/>
      <c r="AP7" s="497"/>
      <c r="AQ7" s="497"/>
      <c r="AR7" s="497"/>
      <c r="AS7" s="497"/>
      <c r="AT7" s="161"/>
      <c r="AU7" s="1868" t="s">
        <v>1505</v>
      </c>
      <c r="AV7" s="497"/>
      <c r="AW7" s="497"/>
      <c r="AX7" s="497"/>
      <c r="AY7" s="497"/>
      <c r="AZ7" s="497"/>
      <c r="BA7" s="497"/>
      <c r="BB7" s="161"/>
      <c r="BC7" s="1868" t="s">
        <v>1506</v>
      </c>
      <c r="BD7" s="497"/>
      <c r="BE7" s="497"/>
      <c r="BF7" s="497"/>
      <c r="BG7" s="497"/>
      <c r="BH7" s="497"/>
      <c r="BI7" s="1916" t="s">
        <v>1507</v>
      </c>
      <c r="BJ7" s="1917"/>
      <c r="BK7" s="1917"/>
      <c r="BL7" s="1917"/>
      <c r="BM7" s="1917"/>
      <c r="BN7" s="1917"/>
      <c r="BO7" s="1917"/>
      <c r="BP7" s="1917"/>
      <c r="BQ7" s="1917"/>
      <c r="BR7" s="1917"/>
      <c r="BS7" s="1917"/>
      <c r="BT7" s="1917"/>
      <c r="BU7" s="1917"/>
      <c r="BV7" s="1917"/>
      <c r="BW7" s="1917"/>
      <c r="BX7" s="1917"/>
      <c r="BY7" s="1917"/>
      <c r="BZ7" s="1917"/>
      <c r="CA7" s="1917"/>
      <c r="CB7" s="1917"/>
      <c r="CC7" s="1917"/>
      <c r="CD7" s="1917"/>
      <c r="CE7" s="1917"/>
      <c r="CF7" s="1917"/>
      <c r="CG7" s="1917"/>
      <c r="CH7" s="1917"/>
      <c r="CI7" s="1917"/>
      <c r="CJ7" s="1917"/>
      <c r="CK7" s="472"/>
      <c r="CL7" s="1918" t="s">
        <v>1508</v>
      </c>
      <c r="CM7" s="1919"/>
      <c r="CN7" s="1919"/>
      <c r="CO7" s="1919"/>
      <c r="CP7" s="1919"/>
      <c r="CQ7" s="1919"/>
      <c r="CR7" s="1919"/>
      <c r="CS7" s="1919"/>
      <c r="CT7" s="1919"/>
      <c r="CU7" s="1919"/>
      <c r="CV7" s="1919"/>
      <c r="CW7" s="1919"/>
      <c r="CX7" s="1919"/>
      <c r="CY7" s="1919"/>
      <c r="CZ7" s="1919"/>
      <c r="DA7" s="1919"/>
      <c r="DB7" s="1919"/>
      <c r="DC7" s="1919"/>
      <c r="DD7" s="1919"/>
      <c r="DE7" s="1919"/>
      <c r="DF7" s="1919"/>
      <c r="DG7" s="1919"/>
      <c r="DH7" s="1919"/>
      <c r="DI7" s="1919"/>
      <c r="DJ7" s="1919"/>
      <c r="DK7" s="1919"/>
      <c r="DL7" s="1919"/>
      <c r="DM7" s="1919"/>
      <c r="DN7" s="1919"/>
      <c r="DO7" s="498"/>
      <c r="DP7" s="1830"/>
      <c r="DQ7" s="1853"/>
      <c r="DR7" s="1588"/>
      <c r="DS7" s="1874"/>
      <c r="DT7" s="1875"/>
      <c r="DU7" s="1875"/>
      <c r="DV7" s="1875"/>
      <c r="DW7" s="1875"/>
      <c r="DX7" s="1876"/>
      <c r="DY7" s="1874"/>
      <c r="DZ7" s="1875"/>
      <c r="EA7" s="1875"/>
      <c r="EB7" s="1876"/>
      <c r="EC7" s="1858" t="s">
        <v>1509</v>
      </c>
      <c r="ED7" s="1877"/>
      <c r="EE7" s="1877"/>
      <c r="EF7" s="1877"/>
      <c r="EG7" s="1878"/>
      <c r="EH7" s="1842" t="s">
        <v>1510</v>
      </c>
      <c r="EI7" s="535"/>
      <c r="EJ7" s="1799"/>
      <c r="EK7" s="1816" t="s">
        <v>1511</v>
      </c>
      <c r="EL7" s="1858" t="s">
        <v>1512</v>
      </c>
      <c r="EM7" s="512"/>
      <c r="EN7" s="512"/>
      <c r="EO7" s="1842" t="s">
        <v>1513</v>
      </c>
      <c r="EP7" s="542"/>
      <c r="EQ7" s="1816" t="s">
        <v>1511</v>
      </c>
      <c r="ER7" s="1858" t="s">
        <v>1512</v>
      </c>
      <c r="ES7" s="512"/>
      <c r="ET7" s="512"/>
      <c r="EU7" s="1842" t="s">
        <v>1513</v>
      </c>
      <c r="EV7" s="526"/>
      <c r="EW7" s="1843" t="s">
        <v>1514</v>
      </c>
      <c r="EX7" s="1844"/>
      <c r="EY7" s="1845"/>
      <c r="EZ7" s="1843" t="s">
        <v>1515</v>
      </c>
      <c r="FA7" s="1844"/>
      <c r="FB7" s="1845"/>
      <c r="FC7" s="1843" t="s">
        <v>1516</v>
      </c>
      <c r="FD7" s="1844"/>
      <c r="FE7" s="1845"/>
      <c r="FF7" s="1816" t="s">
        <v>1511</v>
      </c>
      <c r="FG7" s="1858" t="s">
        <v>1517</v>
      </c>
      <c r="FH7" s="512"/>
      <c r="FI7" s="512"/>
      <c r="FJ7" s="1842" t="s">
        <v>1518</v>
      </c>
      <c r="FK7" s="542"/>
      <c r="FL7" s="365" t="s">
        <v>1519</v>
      </c>
      <c r="FM7" s="366"/>
      <c r="FN7" s="366"/>
      <c r="FO7" s="366"/>
      <c r="FP7" s="366"/>
      <c r="FQ7" s="366"/>
      <c r="FR7" s="366"/>
      <c r="FS7" s="366"/>
      <c r="FT7" s="366"/>
      <c r="FU7" s="522"/>
      <c r="FV7" s="365" t="s">
        <v>1520</v>
      </c>
      <c r="FW7" s="366"/>
      <c r="FX7" s="366"/>
      <c r="FY7" s="366"/>
      <c r="FZ7" s="366"/>
      <c r="GA7" s="366"/>
      <c r="GB7" s="366"/>
      <c r="GC7" s="366"/>
      <c r="GD7" s="366"/>
      <c r="GE7" s="366"/>
      <c r="GF7" s="366"/>
      <c r="GG7" s="522"/>
      <c r="GH7" s="1816" t="s">
        <v>1521</v>
      </c>
      <c r="GI7" s="1798" t="s">
        <v>1517</v>
      </c>
      <c r="GJ7" s="1842" t="s">
        <v>1518</v>
      </c>
      <c r="GK7" s="596"/>
      <c r="GL7" s="1842" t="s">
        <v>1522</v>
      </c>
      <c r="GM7" s="1842" t="s">
        <v>1523</v>
      </c>
      <c r="GN7" s="1934" t="s">
        <v>1524</v>
      </c>
      <c r="GO7" s="501"/>
      <c r="GP7" s="501"/>
      <c r="GQ7" s="1934" t="s">
        <v>1525</v>
      </c>
      <c r="GR7" s="502"/>
      <c r="GS7" s="502"/>
      <c r="GT7" s="503"/>
      <c r="GU7" s="1843" t="s">
        <v>1526</v>
      </c>
      <c r="GV7" s="1844"/>
      <c r="GW7" s="1845"/>
      <c r="GX7" s="1816" t="s">
        <v>1521</v>
      </c>
      <c r="GY7" s="1842" t="s">
        <v>1517</v>
      </c>
      <c r="GZ7" s="1842" t="s">
        <v>1518</v>
      </c>
      <c r="HA7" s="596"/>
      <c r="HB7" s="1843" t="s">
        <v>1527</v>
      </c>
      <c r="HC7" s="1844"/>
      <c r="HD7" s="1845"/>
      <c r="HE7" s="1816" t="s">
        <v>1521</v>
      </c>
      <c r="HF7" s="1798" t="s">
        <v>1517</v>
      </c>
      <c r="HG7" s="1842" t="s">
        <v>1518</v>
      </c>
      <c r="HH7" s="596"/>
      <c r="HI7" s="1843" t="s">
        <v>1528</v>
      </c>
      <c r="HJ7" s="1844"/>
      <c r="HK7" s="1981"/>
      <c r="HL7" s="1983" t="s">
        <v>1529</v>
      </c>
      <c r="HM7" s="1983" t="s">
        <v>1530</v>
      </c>
      <c r="HN7" s="1891"/>
      <c r="HO7" s="1897"/>
      <c r="HP7" s="1900"/>
      <c r="HQ7" s="1907" t="s">
        <v>1531</v>
      </c>
      <c r="HR7" s="1894"/>
      <c r="HS7" s="1791"/>
      <c r="HT7" s="1907"/>
      <c r="HU7" s="1791"/>
      <c r="HV7" s="1821"/>
      <c r="HW7" s="1907"/>
      <c r="HX7" s="1907"/>
      <c r="HY7" s="1813"/>
      <c r="HZ7" s="1813"/>
      <c r="IA7" s="1907"/>
      <c r="IB7" s="1907"/>
      <c r="IC7" s="1907"/>
      <c r="ID7" s="1907"/>
      <c r="IE7" s="1907"/>
      <c r="IF7" s="1907"/>
      <c r="IG7" s="1821"/>
      <c r="IH7" s="1821"/>
      <c r="II7" s="1791"/>
      <c r="IJ7" s="1822"/>
      <c r="IK7" s="1859" t="s">
        <v>1532</v>
      </c>
      <c r="IL7" s="1879" t="s">
        <v>1533</v>
      </c>
      <c r="IM7" s="1880"/>
      <c r="IN7" s="1908"/>
      <c r="IO7" s="1908"/>
      <c r="IP7" s="1908"/>
      <c r="IQ7" s="1908"/>
      <c r="IR7" s="1908"/>
      <c r="IS7" s="1908"/>
      <c r="IT7" s="1908"/>
      <c r="IU7" s="1908"/>
      <c r="IV7" s="883"/>
      <c r="IW7" s="1815" t="s">
        <v>1534</v>
      </c>
      <c r="IX7" s="1909" t="s">
        <v>1535</v>
      </c>
      <c r="IY7" s="1909"/>
      <c r="IZ7" s="1909"/>
      <c r="JA7" s="1814" t="s">
        <v>1536</v>
      </c>
      <c r="JB7" s="1807" t="s">
        <v>1537</v>
      </c>
      <c r="JC7" s="1807" t="s">
        <v>1538</v>
      </c>
      <c r="JD7" s="1807" t="s">
        <v>1539</v>
      </c>
      <c r="JE7" s="1807" t="s">
        <v>1540</v>
      </c>
      <c r="JF7" s="1807" t="s">
        <v>1541</v>
      </c>
      <c r="JG7" s="1808" t="s">
        <v>1542</v>
      </c>
      <c r="JH7" s="1808" t="s">
        <v>1543</v>
      </c>
      <c r="JI7" s="1808" t="s">
        <v>1544</v>
      </c>
      <c r="JJ7" s="1901" t="s">
        <v>1545</v>
      </c>
      <c r="JK7" s="1924" t="s">
        <v>1546</v>
      </c>
      <c r="JL7" s="1868"/>
      <c r="JM7" s="1904" t="s">
        <v>1547</v>
      </c>
      <c r="JN7" s="1904" t="s">
        <v>1548</v>
      </c>
      <c r="JO7" s="1904" t="s">
        <v>1549</v>
      </c>
      <c r="JP7" s="1950" t="s">
        <v>1550</v>
      </c>
      <c r="JQ7" s="185"/>
      <c r="JR7" s="1868"/>
      <c r="JS7" s="1904" t="s">
        <v>1551</v>
      </c>
      <c r="JT7" s="1904" t="s">
        <v>1552</v>
      </c>
      <c r="JU7" s="1904" t="s">
        <v>1553</v>
      </c>
      <c r="JV7" s="1904" t="s">
        <v>1554</v>
      </c>
      <c r="JW7" s="1904" t="s">
        <v>1555</v>
      </c>
      <c r="JX7" s="1904" t="s">
        <v>1556</v>
      </c>
      <c r="JY7" s="1904" t="s">
        <v>1557</v>
      </c>
      <c r="JZ7" s="1904" t="s">
        <v>1558</v>
      </c>
      <c r="KA7" s="1904" t="s">
        <v>1559</v>
      </c>
      <c r="KB7" s="1950" t="s">
        <v>1560</v>
      </c>
      <c r="KC7" s="185"/>
      <c r="KD7" s="1951" t="s">
        <v>1561</v>
      </c>
      <c r="KE7" s="1953" t="s">
        <v>1562</v>
      </c>
      <c r="KF7" s="1953" t="s">
        <v>1563</v>
      </c>
      <c r="KG7" s="1862" t="s">
        <v>1564</v>
      </c>
      <c r="KH7" s="1832" t="s">
        <v>1565</v>
      </c>
      <c r="KI7" s="1942" t="s">
        <v>1566</v>
      </c>
      <c r="KJ7" s="1943"/>
      <c r="KK7" s="1937" t="s">
        <v>1567</v>
      </c>
      <c r="KL7" s="1938"/>
      <c r="KM7" s="1938"/>
      <c r="KN7" s="1938"/>
      <c r="KO7" s="1938"/>
      <c r="KP7" s="1938"/>
      <c r="KQ7" s="1938"/>
      <c r="KR7" s="1939"/>
      <c r="KS7" s="1937" t="s">
        <v>1568</v>
      </c>
      <c r="KT7" s="1938"/>
      <c r="KU7" s="1938"/>
      <c r="KV7" s="1938"/>
      <c r="KW7" s="1938"/>
      <c r="KX7" s="1938"/>
      <c r="KY7" s="1938"/>
      <c r="KZ7" s="1938"/>
      <c r="LA7" s="1938"/>
      <c r="LB7" s="1938"/>
      <c r="LC7" s="1939"/>
      <c r="LD7" s="365" t="s">
        <v>1569</v>
      </c>
      <c r="LE7" s="366"/>
      <c r="LF7" s="366"/>
      <c r="LG7" s="366"/>
      <c r="LH7" s="366"/>
      <c r="LI7" s="74" t="s">
        <v>1570</v>
      </c>
      <c r="LJ7" s="366" t="s">
        <v>1571</v>
      </c>
      <c r="LK7" s="366"/>
      <c r="LL7" s="366"/>
      <c r="LM7" s="366"/>
      <c r="LN7" s="366"/>
      <c r="LO7" s="366"/>
      <c r="LP7" s="366"/>
      <c r="LQ7" s="1944" t="s">
        <v>1572</v>
      </c>
      <c r="LR7" s="1942" t="s">
        <v>1573</v>
      </c>
      <c r="LS7" s="1943"/>
      <c r="LT7" s="1937" t="s">
        <v>1574</v>
      </c>
      <c r="LU7" s="1938"/>
      <c r="LV7" s="1938"/>
      <c r="LW7" s="1938"/>
      <c r="LX7" s="1938"/>
      <c r="LY7" s="1938"/>
      <c r="LZ7" s="1938"/>
      <c r="MA7" s="1939"/>
      <c r="MB7" s="1937" t="s">
        <v>1575</v>
      </c>
      <c r="MC7" s="1938"/>
      <c r="MD7" s="1938"/>
      <c r="ME7" s="1938"/>
      <c r="MF7" s="1938"/>
      <c r="MG7" s="1938"/>
      <c r="MH7" s="1938"/>
      <c r="MI7" s="1938"/>
      <c r="MJ7" s="1938"/>
      <c r="MK7" s="1938"/>
      <c r="ML7" s="1938"/>
      <c r="MM7" s="1939"/>
      <c r="MN7" s="74" t="s">
        <v>1570</v>
      </c>
      <c r="MO7" s="365" t="s">
        <v>1576</v>
      </c>
      <c r="MP7" s="417"/>
      <c r="MQ7" s="417"/>
      <c r="MR7" s="417"/>
      <c r="MS7" s="417"/>
      <c r="MT7" s="417"/>
      <c r="MU7" s="417"/>
      <c r="MV7" s="417"/>
      <c r="MW7" s="417"/>
      <c r="MX7" s="417"/>
      <c r="MY7" s="417"/>
      <c r="MZ7" s="417"/>
      <c r="NA7" s="417"/>
      <c r="NB7" s="417"/>
      <c r="NC7" s="417"/>
      <c r="ND7" s="417"/>
      <c r="NE7" s="417"/>
      <c r="NF7" s="417"/>
      <c r="NG7" s="417"/>
      <c r="NH7" s="363"/>
      <c r="NI7" s="417"/>
      <c r="NJ7" s="365" t="s">
        <v>1577</v>
      </c>
      <c r="NK7" s="417"/>
      <c r="NL7" s="363"/>
      <c r="NM7" s="365" t="s">
        <v>1578</v>
      </c>
      <c r="NN7" s="417"/>
      <c r="NO7" s="417"/>
      <c r="NP7" s="417"/>
      <c r="NQ7" s="417"/>
      <c r="NR7" s="363"/>
      <c r="NS7" s="365" t="s">
        <v>1579</v>
      </c>
      <c r="NT7" s="417"/>
      <c r="NU7" s="417"/>
      <c r="NV7" s="417"/>
      <c r="NW7" s="417"/>
      <c r="NX7" s="417"/>
      <c r="NY7" s="417"/>
      <c r="NZ7" s="417"/>
      <c r="OA7" s="417"/>
      <c r="OB7" s="1585"/>
    </row>
    <row r="8" spans="1:392" s="414" customFormat="1" ht="13.5" customHeight="1">
      <c r="A8" s="1791"/>
      <c r="B8" s="1793"/>
      <c r="C8" s="1793"/>
      <c r="D8" s="1791"/>
      <c r="E8" s="1794"/>
      <c r="F8" s="1827"/>
      <c r="G8" s="1796"/>
      <c r="H8" s="1799"/>
      <c r="I8" s="1793"/>
      <c r="J8" s="1812"/>
      <c r="K8" s="1813"/>
      <c r="L8" s="1914"/>
      <c r="M8" s="1830"/>
      <c r="N8" s="1833"/>
      <c r="O8" s="1833"/>
      <c r="P8" s="1793"/>
      <c r="Q8" s="1799"/>
      <c r="R8" s="1793"/>
      <c r="S8" s="1793"/>
      <c r="T8" s="1822"/>
      <c r="U8" s="1824"/>
      <c r="V8" s="1824"/>
      <c r="W8" s="1824"/>
      <c r="X8" s="1824"/>
      <c r="Y8" s="1824"/>
      <c r="Z8" s="1824"/>
      <c r="AA8" s="1824"/>
      <c r="AB8" s="1824"/>
      <c r="AC8" s="1824"/>
      <c r="AD8" s="1824"/>
      <c r="AE8" s="1815"/>
      <c r="AF8" s="1819"/>
      <c r="AG8" s="1868"/>
      <c r="AH8" s="1815" t="s">
        <v>133</v>
      </c>
      <c r="AI8" s="1815" t="s">
        <v>1580</v>
      </c>
      <c r="AJ8" s="1815" t="s">
        <v>1581</v>
      </c>
      <c r="AK8" s="1815" t="s">
        <v>1582</v>
      </c>
      <c r="AL8" s="1815" t="s">
        <v>151</v>
      </c>
      <c r="AM8" s="1815" t="s">
        <v>1583</v>
      </c>
      <c r="AN8" s="1868"/>
      <c r="AO8" s="1815" t="s">
        <v>133</v>
      </c>
      <c r="AP8" s="1815" t="s">
        <v>1580</v>
      </c>
      <c r="AQ8" s="1815" t="s">
        <v>1581</v>
      </c>
      <c r="AR8" s="1815" t="s">
        <v>151</v>
      </c>
      <c r="AS8" s="1815" t="s">
        <v>1584</v>
      </c>
      <c r="AT8" s="1815" t="s">
        <v>1585</v>
      </c>
      <c r="AU8" s="1868"/>
      <c r="AV8" s="1815" t="s">
        <v>133</v>
      </c>
      <c r="AW8" s="1815" t="s">
        <v>1580</v>
      </c>
      <c r="AX8" s="1815" t="s">
        <v>1586</v>
      </c>
      <c r="AY8" s="1815" t="s">
        <v>1581</v>
      </c>
      <c r="AZ8" s="1815" t="s">
        <v>1587</v>
      </c>
      <c r="BA8" s="1815" t="s">
        <v>1588</v>
      </c>
      <c r="BB8" s="1815" t="s">
        <v>1589</v>
      </c>
      <c r="BC8" s="1868"/>
      <c r="BD8" s="1815" t="s">
        <v>133</v>
      </c>
      <c r="BE8" s="1815" t="s">
        <v>1580</v>
      </c>
      <c r="BF8" s="1815" t="s">
        <v>151</v>
      </c>
      <c r="BG8" s="1815" t="s">
        <v>1590</v>
      </c>
      <c r="BH8" s="1956" t="s">
        <v>1591</v>
      </c>
      <c r="BI8" s="1957" t="s">
        <v>1592</v>
      </c>
      <c r="BJ8" s="1868" t="s">
        <v>1593</v>
      </c>
      <c r="BK8" s="1958" t="s">
        <v>1594</v>
      </c>
      <c r="BL8" s="1959"/>
      <c r="BM8" s="1959"/>
      <c r="BN8" s="1959"/>
      <c r="BO8" s="1959"/>
      <c r="BP8" s="1960"/>
      <c r="BQ8" s="1816" t="s">
        <v>1595</v>
      </c>
      <c r="BR8" s="1958" t="s">
        <v>1596</v>
      </c>
      <c r="BS8" s="1959"/>
      <c r="BT8" s="1959"/>
      <c r="BU8" s="1959"/>
      <c r="BV8" s="1959"/>
      <c r="BW8" s="1960"/>
      <c r="BX8" s="1816" t="s">
        <v>1597</v>
      </c>
      <c r="BY8" s="1958" t="s">
        <v>1598</v>
      </c>
      <c r="BZ8" s="1959"/>
      <c r="CA8" s="1959"/>
      <c r="CB8" s="1959"/>
      <c r="CC8" s="1959"/>
      <c r="CD8" s="1959"/>
      <c r="CE8" s="1960"/>
      <c r="CF8" s="1816" t="s">
        <v>1599</v>
      </c>
      <c r="CG8" s="1958" t="s">
        <v>1600</v>
      </c>
      <c r="CH8" s="1959"/>
      <c r="CI8" s="1959"/>
      <c r="CJ8" s="1959"/>
      <c r="CK8" s="1959"/>
      <c r="CL8" s="1961" t="s">
        <v>1601</v>
      </c>
      <c r="CM8" s="1819" t="s">
        <v>1602</v>
      </c>
      <c r="CN8" s="1868" t="s">
        <v>1603</v>
      </c>
      <c r="CO8" s="1958" t="s">
        <v>1604</v>
      </c>
      <c r="CP8" s="1959"/>
      <c r="CQ8" s="1959"/>
      <c r="CR8" s="1959"/>
      <c r="CS8" s="1959"/>
      <c r="CT8" s="1960"/>
      <c r="CU8" s="1816" t="s">
        <v>1605</v>
      </c>
      <c r="CV8" s="1958" t="s">
        <v>1606</v>
      </c>
      <c r="CW8" s="1959"/>
      <c r="CX8" s="1959"/>
      <c r="CY8" s="1959"/>
      <c r="CZ8" s="1959"/>
      <c r="DA8" s="1960"/>
      <c r="DB8" s="1816" t="s">
        <v>1607</v>
      </c>
      <c r="DC8" s="1958" t="s">
        <v>1608</v>
      </c>
      <c r="DD8" s="1959"/>
      <c r="DE8" s="1959"/>
      <c r="DF8" s="1959"/>
      <c r="DG8" s="1959"/>
      <c r="DH8" s="1959"/>
      <c r="DI8" s="1960"/>
      <c r="DJ8" s="1816" t="s">
        <v>1609</v>
      </c>
      <c r="DK8" s="2001" t="s">
        <v>1610</v>
      </c>
      <c r="DL8" s="2002"/>
      <c r="DM8" s="2002"/>
      <c r="DN8" s="2002"/>
      <c r="DO8" s="2002"/>
      <c r="DP8" s="1830"/>
      <c r="DQ8" s="1853"/>
      <c r="DR8" s="1588"/>
      <c r="DS8" s="1964" t="s">
        <v>1611</v>
      </c>
      <c r="DT8" s="599"/>
      <c r="DU8" s="599"/>
      <c r="DV8" s="599"/>
      <c r="DW8" s="600"/>
      <c r="DX8" s="1965" t="s">
        <v>1612</v>
      </c>
      <c r="DY8" s="1965" t="s">
        <v>1613</v>
      </c>
      <c r="DZ8" s="1965" t="s">
        <v>1614</v>
      </c>
      <c r="EA8" s="1965" t="s">
        <v>1615</v>
      </c>
      <c r="EB8" s="1965" t="s">
        <v>1616</v>
      </c>
      <c r="EC8" s="1868"/>
      <c r="ED8" s="1791" t="s">
        <v>1617</v>
      </c>
      <c r="EE8" s="1932" t="s">
        <v>1618</v>
      </c>
      <c r="EF8" s="1933"/>
      <c r="EG8" s="2005"/>
      <c r="EH8" s="1860"/>
      <c r="EI8" s="1867" t="s">
        <v>1617</v>
      </c>
      <c r="EJ8" s="1799"/>
      <c r="EK8" s="1821"/>
      <c r="EL8" s="1821"/>
      <c r="EM8" s="1932" t="s">
        <v>1619</v>
      </c>
      <c r="EN8" s="1933"/>
      <c r="EO8" s="1799"/>
      <c r="EP8" s="1852" t="s">
        <v>1468</v>
      </c>
      <c r="EQ8" s="1821"/>
      <c r="ER8" s="1821"/>
      <c r="ES8" s="1932" t="s">
        <v>1619</v>
      </c>
      <c r="ET8" s="1933"/>
      <c r="EU8" s="1799"/>
      <c r="EV8" s="1852" t="s">
        <v>1468</v>
      </c>
      <c r="EW8" s="1927"/>
      <c r="EX8" s="1928"/>
      <c r="EY8" s="1848"/>
      <c r="EZ8" s="1927"/>
      <c r="FA8" s="1928"/>
      <c r="FB8" s="1848"/>
      <c r="FC8" s="1929"/>
      <c r="FD8" s="1930"/>
      <c r="FE8" s="1931"/>
      <c r="FF8" s="1821"/>
      <c r="FG8" s="1821"/>
      <c r="FH8" s="1932" t="s">
        <v>1619</v>
      </c>
      <c r="FI8" s="1933"/>
      <c r="FJ8" s="1799"/>
      <c r="FK8" s="1852" t="s">
        <v>1473</v>
      </c>
      <c r="FL8" s="1859" t="s">
        <v>1620</v>
      </c>
      <c r="FM8" s="1859" t="s">
        <v>1621</v>
      </c>
      <c r="FN8" s="1859" t="s">
        <v>1622</v>
      </c>
      <c r="FO8" s="1859" t="s">
        <v>1623</v>
      </c>
      <c r="FP8" s="1859" t="s">
        <v>1624</v>
      </c>
      <c r="FQ8" s="1859" t="s">
        <v>1625</v>
      </c>
      <c r="FR8" s="1859" t="s">
        <v>1626</v>
      </c>
      <c r="FS8" s="1859" t="s">
        <v>1627</v>
      </c>
      <c r="FT8" s="1912" t="s">
        <v>1455</v>
      </c>
      <c r="FU8" s="519"/>
      <c r="FV8" s="1859" t="s">
        <v>1628</v>
      </c>
      <c r="FW8" s="1859" t="s">
        <v>1629</v>
      </c>
      <c r="FX8" s="1859" t="s">
        <v>1630</v>
      </c>
      <c r="FY8" s="1859" t="s">
        <v>1631</v>
      </c>
      <c r="FZ8" s="1859" t="s">
        <v>1632</v>
      </c>
      <c r="GA8" s="1859" t="s">
        <v>1633</v>
      </c>
      <c r="GB8" s="1859" t="s">
        <v>1634</v>
      </c>
      <c r="GC8" s="1859" t="s">
        <v>1635</v>
      </c>
      <c r="GD8" s="1859" t="s">
        <v>1636</v>
      </c>
      <c r="GE8" s="1859" t="s">
        <v>1637</v>
      </c>
      <c r="GF8" s="1912" t="s">
        <v>1455</v>
      </c>
      <c r="GG8" s="519"/>
      <c r="GH8" s="1821"/>
      <c r="GI8" s="1799"/>
      <c r="GJ8" s="1799"/>
      <c r="GK8" s="1852" t="s">
        <v>1473</v>
      </c>
      <c r="GL8" s="1860"/>
      <c r="GM8" s="1860"/>
      <c r="GN8" s="1935"/>
      <c r="GO8" s="2006" t="s">
        <v>1638</v>
      </c>
      <c r="GP8" s="2006" t="s">
        <v>1639</v>
      </c>
      <c r="GQ8" s="1897"/>
      <c r="GR8" s="2007" t="s">
        <v>1640</v>
      </c>
      <c r="GS8" s="2007" t="s">
        <v>1641</v>
      </c>
      <c r="GT8" s="2007" t="s">
        <v>1642</v>
      </c>
      <c r="GU8" s="1846"/>
      <c r="GV8" s="1847"/>
      <c r="GW8" s="1848"/>
      <c r="GX8" s="1821"/>
      <c r="GY8" s="1799"/>
      <c r="GZ8" s="1799"/>
      <c r="HA8" s="1852" t="s">
        <v>1473</v>
      </c>
      <c r="HB8" s="1846"/>
      <c r="HC8" s="1847"/>
      <c r="HD8" s="1848"/>
      <c r="HE8" s="1821"/>
      <c r="HF8" s="1799"/>
      <c r="HG8" s="1860"/>
      <c r="HH8" s="1852" t="s">
        <v>1473</v>
      </c>
      <c r="HI8" s="1846"/>
      <c r="HJ8" s="1847"/>
      <c r="HK8" s="1982"/>
      <c r="HL8" s="1983"/>
      <c r="HM8" s="1983"/>
      <c r="HN8" s="1891"/>
      <c r="HO8" s="1897"/>
      <c r="HP8" s="1900"/>
      <c r="HQ8" s="1907"/>
      <c r="HR8" s="1894"/>
      <c r="HS8" s="1791"/>
      <c r="HT8" s="1907"/>
      <c r="HU8" s="1791"/>
      <c r="HV8" s="1821"/>
      <c r="HW8" s="1907"/>
      <c r="HX8" s="1907"/>
      <c r="HY8" s="1813"/>
      <c r="HZ8" s="1813"/>
      <c r="IA8" s="1907"/>
      <c r="IB8" s="1907"/>
      <c r="IC8" s="1907"/>
      <c r="ID8" s="1907"/>
      <c r="IE8" s="1907"/>
      <c r="IF8" s="1907"/>
      <c r="IG8" s="1821"/>
      <c r="IH8" s="1821"/>
      <c r="II8" s="1791"/>
      <c r="IJ8" s="1822"/>
      <c r="IK8" s="1588"/>
      <c r="IL8" s="1974" t="s">
        <v>1643</v>
      </c>
      <c r="IM8" s="1904" t="s">
        <v>1644</v>
      </c>
      <c r="IN8" s="1977" t="s">
        <v>1645</v>
      </c>
      <c r="IO8" s="1910" t="s">
        <v>1646</v>
      </c>
      <c r="IP8" s="1910" t="s">
        <v>1647</v>
      </c>
      <c r="IQ8" s="1910" t="s">
        <v>1648</v>
      </c>
      <c r="IR8" s="1910" t="s">
        <v>1649</v>
      </c>
      <c r="IS8" s="1910" t="s">
        <v>1650</v>
      </c>
      <c r="IT8" s="1910" t="s">
        <v>1651</v>
      </c>
      <c r="IU8" s="1910" t="s">
        <v>1652</v>
      </c>
      <c r="IV8" s="1966" t="s">
        <v>1653</v>
      </c>
      <c r="IW8" s="1815"/>
      <c r="IX8" s="1968" t="s">
        <v>1654</v>
      </c>
      <c r="IY8" s="1970" t="s">
        <v>1655</v>
      </c>
      <c r="IZ8" s="1970" t="s">
        <v>1656</v>
      </c>
      <c r="JA8" s="1815"/>
      <c r="JB8" s="1807"/>
      <c r="JC8" s="1807"/>
      <c r="JD8" s="1807"/>
      <c r="JE8" s="1807"/>
      <c r="JF8" s="1807"/>
      <c r="JG8" s="1809"/>
      <c r="JH8" s="1809"/>
      <c r="JI8" s="1809"/>
      <c r="JJ8" s="1902"/>
      <c r="JK8" s="1925"/>
      <c r="JL8" s="1868"/>
      <c r="JM8" s="1905"/>
      <c r="JN8" s="1905"/>
      <c r="JO8" s="1905"/>
      <c r="JP8" s="1905"/>
      <c r="JQ8" s="1904" t="s">
        <v>1657</v>
      </c>
      <c r="JR8" s="1868"/>
      <c r="JS8" s="1905"/>
      <c r="JT8" s="1905"/>
      <c r="JU8" s="1905"/>
      <c r="JV8" s="1905"/>
      <c r="JW8" s="1905"/>
      <c r="JX8" s="1905"/>
      <c r="JY8" s="1905"/>
      <c r="JZ8" s="1905"/>
      <c r="KA8" s="1905"/>
      <c r="KB8" s="1905"/>
      <c r="KC8" s="1904" t="s">
        <v>1657</v>
      </c>
      <c r="KD8" s="1952"/>
      <c r="KE8" s="1954"/>
      <c r="KF8" s="1954"/>
      <c r="KG8" s="1954"/>
      <c r="KH8" s="1940"/>
      <c r="KI8" s="1947" t="s">
        <v>1658</v>
      </c>
      <c r="KJ8" s="1947" t="s">
        <v>1659</v>
      </c>
      <c r="KK8" s="1947" t="s">
        <v>1660</v>
      </c>
      <c r="KL8" s="1947" t="s">
        <v>1661</v>
      </c>
      <c r="KM8" s="1947" t="s">
        <v>1662</v>
      </c>
      <c r="KN8" s="1947" t="s">
        <v>1663</v>
      </c>
      <c r="KO8" s="1948" t="s">
        <v>1664</v>
      </c>
      <c r="KP8" s="1947" t="s">
        <v>1665</v>
      </c>
      <c r="KQ8" s="1987" t="s">
        <v>1666</v>
      </c>
      <c r="KR8" s="187"/>
      <c r="KS8" s="1953" t="s">
        <v>1667</v>
      </c>
      <c r="KT8" s="1953" t="s">
        <v>1668</v>
      </c>
      <c r="KU8" s="1953" t="s">
        <v>1669</v>
      </c>
      <c r="KV8" s="1984" t="s">
        <v>1670</v>
      </c>
      <c r="KW8" s="1953" t="s">
        <v>1671</v>
      </c>
      <c r="KX8" s="1984" t="s">
        <v>1672</v>
      </c>
      <c r="KY8" s="1984" t="s">
        <v>1673</v>
      </c>
      <c r="KZ8" s="1984" t="s">
        <v>1674</v>
      </c>
      <c r="LA8" s="1984" t="s">
        <v>1675</v>
      </c>
      <c r="LB8" s="1987" t="s">
        <v>1676</v>
      </c>
      <c r="LC8" s="187"/>
      <c r="LD8" s="1947" t="s">
        <v>1677</v>
      </c>
      <c r="LE8" s="1984" t="s">
        <v>1678</v>
      </c>
      <c r="LF8" s="1984" t="s">
        <v>1679</v>
      </c>
      <c r="LG8" s="1987" t="s">
        <v>1676</v>
      </c>
      <c r="LH8" s="187"/>
      <c r="LI8" s="1988" t="s">
        <v>1680</v>
      </c>
      <c r="LJ8" s="1984" t="s">
        <v>1681</v>
      </c>
      <c r="LK8" s="1984" t="s">
        <v>1682</v>
      </c>
      <c r="LL8" s="1984" t="s">
        <v>1683</v>
      </c>
      <c r="LM8" s="1984" t="s">
        <v>1684</v>
      </c>
      <c r="LN8" s="1984" t="s">
        <v>1685</v>
      </c>
      <c r="LO8" s="1991" t="s">
        <v>1686</v>
      </c>
      <c r="LP8" s="187"/>
      <c r="LQ8" s="1945"/>
      <c r="LR8" s="1947" t="s">
        <v>1687</v>
      </c>
      <c r="LS8" s="1947" t="s">
        <v>1659</v>
      </c>
      <c r="LT8" s="1947" t="s">
        <v>1660</v>
      </c>
      <c r="LU8" s="1947" t="s">
        <v>1661</v>
      </c>
      <c r="LV8" s="1947" t="s">
        <v>1662</v>
      </c>
      <c r="LW8" s="1947" t="s">
        <v>1663</v>
      </c>
      <c r="LX8" s="1948" t="s">
        <v>1664</v>
      </c>
      <c r="LY8" s="1947" t="s">
        <v>1665</v>
      </c>
      <c r="LZ8" s="1987" t="s">
        <v>1666</v>
      </c>
      <c r="MA8" s="187"/>
      <c r="MB8" s="1953" t="s">
        <v>1688</v>
      </c>
      <c r="MC8" s="1953" t="s">
        <v>1689</v>
      </c>
      <c r="MD8" s="1953" t="s">
        <v>1690</v>
      </c>
      <c r="ME8" s="1984" t="s">
        <v>1691</v>
      </c>
      <c r="MF8" s="1953" t="s">
        <v>1692</v>
      </c>
      <c r="MG8" s="1984" t="s">
        <v>1693</v>
      </c>
      <c r="MH8" s="1984" t="s">
        <v>1694</v>
      </c>
      <c r="MI8" s="1984" t="s">
        <v>1695</v>
      </c>
      <c r="MJ8" s="1984" t="s">
        <v>1696</v>
      </c>
      <c r="MK8" s="1987" t="s">
        <v>1697</v>
      </c>
      <c r="ML8" s="1987" t="s">
        <v>1698</v>
      </c>
      <c r="MM8" s="187"/>
      <c r="MN8" s="1988" t="s">
        <v>1699</v>
      </c>
      <c r="MO8" s="1994" t="s">
        <v>1700</v>
      </c>
      <c r="MP8" s="365" t="s">
        <v>1701</v>
      </c>
      <c r="MQ8" s="417"/>
      <c r="MR8" s="417"/>
      <c r="MS8" s="417"/>
      <c r="MT8" s="417"/>
      <c r="MU8" s="417"/>
      <c r="MV8" s="417"/>
      <c r="MW8" s="417"/>
      <c r="MX8" s="363"/>
      <c r="MY8" s="417"/>
      <c r="MZ8" s="365" t="s">
        <v>1702</v>
      </c>
      <c r="NA8" s="417"/>
      <c r="NB8" s="417"/>
      <c r="NC8" s="417"/>
      <c r="ND8" s="417"/>
      <c r="NE8" s="417"/>
      <c r="NF8" s="417"/>
      <c r="NG8" s="417"/>
      <c r="NH8" s="363"/>
      <c r="NI8" s="417"/>
      <c r="NJ8" s="1998" t="s">
        <v>1703</v>
      </c>
      <c r="NK8" s="502"/>
      <c r="NL8" s="598"/>
      <c r="NM8" s="1997" t="s">
        <v>1704</v>
      </c>
      <c r="NN8" s="1997" t="s">
        <v>1705</v>
      </c>
      <c r="NO8" s="1997" t="s">
        <v>1706</v>
      </c>
      <c r="NP8" s="1997" t="s">
        <v>1707</v>
      </c>
      <c r="NQ8" s="1987" t="s">
        <v>1708</v>
      </c>
      <c r="NR8" s="187"/>
      <c r="NS8" s="1997" t="s">
        <v>1709</v>
      </c>
      <c r="NT8" s="1997" t="s">
        <v>1668</v>
      </c>
      <c r="NU8" s="1997" t="s">
        <v>1669</v>
      </c>
      <c r="NV8" s="1984" t="s">
        <v>1710</v>
      </c>
      <c r="NW8" s="1984" t="s">
        <v>1711</v>
      </c>
      <c r="NX8" s="1984" t="s">
        <v>1712</v>
      </c>
      <c r="NY8" s="1997" t="s">
        <v>1713</v>
      </c>
      <c r="NZ8" s="1987" t="s">
        <v>1714</v>
      </c>
      <c r="OA8" s="371"/>
      <c r="OB8" s="1585"/>
    </row>
    <row r="9" spans="1:392" s="414" customFormat="1" ht="13.5" customHeight="1">
      <c r="A9" s="1791"/>
      <c r="B9" s="1793"/>
      <c r="C9" s="1793"/>
      <c r="D9" s="1791"/>
      <c r="E9" s="1794"/>
      <c r="F9" s="1827"/>
      <c r="G9" s="1796"/>
      <c r="H9" s="1799"/>
      <c r="I9" s="1793"/>
      <c r="J9" s="1812"/>
      <c r="K9" s="1813"/>
      <c r="L9" s="1914"/>
      <c r="M9" s="1830"/>
      <c r="N9" s="1833"/>
      <c r="O9" s="1833"/>
      <c r="P9" s="1793"/>
      <c r="Q9" s="1799"/>
      <c r="R9" s="1793"/>
      <c r="S9" s="1793"/>
      <c r="T9" s="1822"/>
      <c r="U9" s="1824"/>
      <c r="V9" s="1824"/>
      <c r="W9" s="1824"/>
      <c r="X9" s="1824"/>
      <c r="Y9" s="1824"/>
      <c r="Z9" s="1824"/>
      <c r="AA9" s="1824"/>
      <c r="AB9" s="1824"/>
      <c r="AC9" s="1824"/>
      <c r="AD9" s="1824"/>
      <c r="AE9" s="1815"/>
      <c r="AF9" s="1819"/>
      <c r="AG9" s="1868"/>
      <c r="AH9" s="1815"/>
      <c r="AI9" s="1815"/>
      <c r="AJ9" s="1815"/>
      <c r="AK9" s="1815"/>
      <c r="AL9" s="1815"/>
      <c r="AM9" s="1815"/>
      <c r="AN9" s="1868"/>
      <c r="AO9" s="1815"/>
      <c r="AP9" s="1815"/>
      <c r="AQ9" s="1815"/>
      <c r="AR9" s="1815"/>
      <c r="AS9" s="1815"/>
      <c r="AT9" s="1815"/>
      <c r="AU9" s="1868"/>
      <c r="AV9" s="1815"/>
      <c r="AW9" s="1815"/>
      <c r="AX9" s="1815"/>
      <c r="AY9" s="1815"/>
      <c r="AZ9" s="1815"/>
      <c r="BA9" s="1815"/>
      <c r="BB9" s="1815"/>
      <c r="BC9" s="1868"/>
      <c r="BD9" s="1815"/>
      <c r="BE9" s="1815"/>
      <c r="BF9" s="1815"/>
      <c r="BG9" s="1815"/>
      <c r="BH9" s="1956"/>
      <c r="BI9" s="1819"/>
      <c r="BJ9" s="1868"/>
      <c r="BK9" s="1799" t="s">
        <v>133</v>
      </c>
      <c r="BL9" s="1799" t="s">
        <v>1580</v>
      </c>
      <c r="BM9" s="1799" t="s">
        <v>1581</v>
      </c>
      <c r="BN9" s="1799" t="s">
        <v>1582</v>
      </c>
      <c r="BO9" s="1860" t="s">
        <v>151</v>
      </c>
      <c r="BP9" s="1793" t="s">
        <v>1583</v>
      </c>
      <c r="BQ9" s="1821"/>
      <c r="BR9" s="1799" t="s">
        <v>133</v>
      </c>
      <c r="BS9" s="1799" t="s">
        <v>1580</v>
      </c>
      <c r="BT9" s="1799" t="s">
        <v>1581</v>
      </c>
      <c r="BU9" s="1799" t="s">
        <v>151</v>
      </c>
      <c r="BV9" s="1860" t="s">
        <v>1715</v>
      </c>
      <c r="BW9" s="1798" t="s">
        <v>1716</v>
      </c>
      <c r="BX9" s="1821"/>
      <c r="BY9" s="1799" t="s">
        <v>133</v>
      </c>
      <c r="BZ9" s="1799" t="s">
        <v>1580</v>
      </c>
      <c r="CA9" s="1799" t="s">
        <v>1586</v>
      </c>
      <c r="CB9" s="1799" t="s">
        <v>1581</v>
      </c>
      <c r="CC9" s="1799" t="s">
        <v>1587</v>
      </c>
      <c r="CD9" s="1860" t="s">
        <v>1717</v>
      </c>
      <c r="CE9" s="1798" t="s">
        <v>1718</v>
      </c>
      <c r="CF9" s="1821"/>
      <c r="CG9" s="1799" t="s">
        <v>133</v>
      </c>
      <c r="CH9" s="1799" t="s">
        <v>1580</v>
      </c>
      <c r="CI9" s="1799" t="s">
        <v>151</v>
      </c>
      <c r="CJ9" s="1860" t="s">
        <v>1590</v>
      </c>
      <c r="CK9" s="1860" t="s">
        <v>1591</v>
      </c>
      <c r="CL9" s="1962"/>
      <c r="CM9" s="1819"/>
      <c r="CN9" s="1868"/>
      <c r="CO9" s="1799" t="s">
        <v>133</v>
      </c>
      <c r="CP9" s="1799" t="s">
        <v>1580</v>
      </c>
      <c r="CQ9" s="1799" t="s">
        <v>1581</v>
      </c>
      <c r="CR9" s="1799" t="s">
        <v>1582</v>
      </c>
      <c r="CS9" s="1860" t="s">
        <v>151</v>
      </c>
      <c r="CT9" s="1793" t="s">
        <v>1583</v>
      </c>
      <c r="CU9" s="1821"/>
      <c r="CV9" s="1799" t="s">
        <v>133</v>
      </c>
      <c r="CW9" s="1799" t="s">
        <v>1580</v>
      </c>
      <c r="CX9" s="1799" t="s">
        <v>1581</v>
      </c>
      <c r="CY9" s="1799" t="s">
        <v>151</v>
      </c>
      <c r="CZ9" s="1860" t="s">
        <v>1715</v>
      </c>
      <c r="DA9" s="1798" t="s">
        <v>1719</v>
      </c>
      <c r="DB9" s="1821"/>
      <c r="DC9" s="1799" t="s">
        <v>133</v>
      </c>
      <c r="DD9" s="1799" t="s">
        <v>1580</v>
      </c>
      <c r="DE9" s="1799" t="s">
        <v>1586</v>
      </c>
      <c r="DF9" s="1799" t="s">
        <v>1581</v>
      </c>
      <c r="DG9" s="1799" t="s">
        <v>1587</v>
      </c>
      <c r="DH9" s="1860" t="s">
        <v>1717</v>
      </c>
      <c r="DI9" s="1798" t="s">
        <v>1718</v>
      </c>
      <c r="DJ9" s="1821"/>
      <c r="DK9" s="1799" t="s">
        <v>133</v>
      </c>
      <c r="DL9" s="1799" t="s">
        <v>1580</v>
      </c>
      <c r="DM9" s="1799" t="s">
        <v>151</v>
      </c>
      <c r="DN9" s="1860" t="s">
        <v>1720</v>
      </c>
      <c r="DO9" s="1860" t="s">
        <v>1721</v>
      </c>
      <c r="DP9" s="1830"/>
      <c r="DQ9" s="1853"/>
      <c r="DR9" s="1588"/>
      <c r="DS9" s="1821"/>
      <c r="DT9" s="1859" t="s">
        <v>1722</v>
      </c>
      <c r="DU9" s="1859" t="s">
        <v>1723</v>
      </c>
      <c r="DV9" s="1912" t="s">
        <v>1455</v>
      </c>
      <c r="DW9" s="518"/>
      <c r="DX9" s="1822"/>
      <c r="DY9" s="1822"/>
      <c r="DZ9" s="1822"/>
      <c r="EA9" s="1822"/>
      <c r="EB9" s="1822"/>
      <c r="EC9" s="1868"/>
      <c r="ED9" s="1791"/>
      <c r="EE9" s="1798" t="s">
        <v>1724</v>
      </c>
      <c r="EF9" s="1798" t="s">
        <v>1725</v>
      </c>
      <c r="EG9" s="1798" t="s">
        <v>1726</v>
      </c>
      <c r="EH9" s="1860"/>
      <c r="EI9" s="1867"/>
      <c r="EJ9" s="1799"/>
      <c r="EK9" s="1821"/>
      <c r="EL9" s="1821"/>
      <c r="EM9" s="1798" t="s">
        <v>1727</v>
      </c>
      <c r="EN9" s="1842" t="s">
        <v>1725</v>
      </c>
      <c r="EO9" s="1799"/>
      <c r="EP9" s="1853"/>
      <c r="EQ9" s="1821"/>
      <c r="ER9" s="1821"/>
      <c r="ES9" s="1798" t="s">
        <v>1727</v>
      </c>
      <c r="ET9" s="1842" t="s">
        <v>1725</v>
      </c>
      <c r="EU9" s="1799"/>
      <c r="EV9" s="1853"/>
      <c r="EW9" s="1855" t="s">
        <v>1728</v>
      </c>
      <c r="EX9" s="1855" t="s">
        <v>1729</v>
      </c>
      <c r="EY9" s="1936" t="s">
        <v>1730</v>
      </c>
      <c r="EZ9" s="1855" t="s">
        <v>1728</v>
      </c>
      <c r="FA9" s="1855" t="s">
        <v>1729</v>
      </c>
      <c r="FB9" s="1936" t="s">
        <v>1730</v>
      </c>
      <c r="FC9" s="1855" t="s">
        <v>1728</v>
      </c>
      <c r="FD9" s="1855" t="s">
        <v>1729</v>
      </c>
      <c r="FE9" s="1936" t="s">
        <v>1730</v>
      </c>
      <c r="FF9" s="1821"/>
      <c r="FG9" s="1821"/>
      <c r="FH9" s="1798" t="s">
        <v>1727</v>
      </c>
      <c r="FI9" s="1842" t="s">
        <v>1725</v>
      </c>
      <c r="FJ9" s="1799"/>
      <c r="FK9" s="1853"/>
      <c r="FL9" s="1822"/>
      <c r="FM9" s="1822"/>
      <c r="FN9" s="1822"/>
      <c r="FO9" s="1822"/>
      <c r="FP9" s="1822"/>
      <c r="FQ9" s="1822"/>
      <c r="FR9" s="1822"/>
      <c r="FS9" s="1822"/>
      <c r="FT9" s="1822"/>
      <c r="FU9" s="1859" t="s">
        <v>1657</v>
      </c>
      <c r="FV9" s="1822"/>
      <c r="FW9" s="1822"/>
      <c r="FX9" s="1822"/>
      <c r="FY9" s="1822"/>
      <c r="FZ9" s="1822"/>
      <c r="GA9" s="1822"/>
      <c r="GB9" s="1822"/>
      <c r="GC9" s="1822"/>
      <c r="GD9" s="1822"/>
      <c r="GE9" s="1822"/>
      <c r="GF9" s="1822"/>
      <c r="GG9" s="1859" t="s">
        <v>1657</v>
      </c>
      <c r="GH9" s="1821"/>
      <c r="GI9" s="1799"/>
      <c r="GJ9" s="1799"/>
      <c r="GK9" s="1853"/>
      <c r="GL9" s="1860"/>
      <c r="GM9" s="1860"/>
      <c r="GN9" s="1897"/>
      <c r="GO9" s="1588"/>
      <c r="GP9" s="1588"/>
      <c r="GQ9" s="1897"/>
      <c r="GR9" s="1853"/>
      <c r="GS9" s="1853"/>
      <c r="GT9" s="1853"/>
      <c r="GU9" s="1856" t="s">
        <v>1728</v>
      </c>
      <c r="GV9" s="1855" t="s">
        <v>1729</v>
      </c>
      <c r="GW9" s="1936" t="s">
        <v>1730</v>
      </c>
      <c r="GX9" s="1821"/>
      <c r="GY9" s="1799"/>
      <c r="GZ9" s="1799"/>
      <c r="HA9" s="1853"/>
      <c r="HB9" s="1856" t="s">
        <v>1728</v>
      </c>
      <c r="HC9" s="1855" t="s">
        <v>1729</v>
      </c>
      <c r="HD9" s="1936" t="s">
        <v>1730</v>
      </c>
      <c r="HE9" s="1821"/>
      <c r="HF9" s="1799"/>
      <c r="HG9" s="1860"/>
      <c r="HH9" s="1973"/>
      <c r="HI9" s="1855" t="s">
        <v>1728</v>
      </c>
      <c r="HJ9" s="1855" t="s">
        <v>1729</v>
      </c>
      <c r="HK9" s="1936" t="s">
        <v>1730</v>
      </c>
      <c r="HL9" s="1983"/>
      <c r="HM9" s="1983"/>
      <c r="HN9" s="1891"/>
      <c r="HO9" s="1897"/>
      <c r="HP9" s="1900"/>
      <c r="HQ9" s="1907"/>
      <c r="HR9" s="1894"/>
      <c r="HS9" s="1791"/>
      <c r="HT9" s="1907"/>
      <c r="HU9" s="1791"/>
      <c r="HV9" s="1821"/>
      <c r="HW9" s="1907"/>
      <c r="HX9" s="1907"/>
      <c r="HY9" s="1813"/>
      <c r="HZ9" s="1813"/>
      <c r="IA9" s="1907"/>
      <c r="IB9" s="1907"/>
      <c r="IC9" s="1907"/>
      <c r="ID9" s="1907"/>
      <c r="IE9" s="1907"/>
      <c r="IF9" s="1907"/>
      <c r="IG9" s="1821"/>
      <c r="IH9" s="1821"/>
      <c r="II9" s="1791"/>
      <c r="IJ9" s="1822"/>
      <c r="IK9" s="1588"/>
      <c r="IL9" s="1975"/>
      <c r="IM9" s="1905"/>
      <c r="IN9" s="1978"/>
      <c r="IO9" s="1911"/>
      <c r="IP9" s="1911"/>
      <c r="IQ9" s="1911"/>
      <c r="IR9" s="1911"/>
      <c r="IS9" s="1911"/>
      <c r="IT9" s="1911"/>
      <c r="IU9" s="1911"/>
      <c r="IV9" s="1967"/>
      <c r="IW9" s="1815"/>
      <c r="IX9" s="1969"/>
      <c r="IY9" s="1971"/>
      <c r="IZ9" s="1971"/>
      <c r="JA9" s="1815"/>
      <c r="JB9" s="1807"/>
      <c r="JC9" s="1807"/>
      <c r="JD9" s="1807"/>
      <c r="JE9" s="1807"/>
      <c r="JF9" s="1807"/>
      <c r="JG9" s="1809"/>
      <c r="JH9" s="1809"/>
      <c r="JI9" s="1809"/>
      <c r="JJ9" s="1902"/>
      <c r="JK9" s="1925"/>
      <c r="JL9" s="1868"/>
      <c r="JM9" s="1905"/>
      <c r="JN9" s="1905"/>
      <c r="JO9" s="1905"/>
      <c r="JP9" s="1905"/>
      <c r="JQ9" s="1905"/>
      <c r="JR9" s="1868"/>
      <c r="JS9" s="1905"/>
      <c r="JT9" s="1905"/>
      <c r="JU9" s="1905"/>
      <c r="JV9" s="1905"/>
      <c r="JW9" s="1905"/>
      <c r="JX9" s="1905"/>
      <c r="JY9" s="1905"/>
      <c r="JZ9" s="1905"/>
      <c r="KA9" s="1905"/>
      <c r="KB9" s="1905"/>
      <c r="KC9" s="1905"/>
      <c r="KD9" s="1952"/>
      <c r="KE9" s="1954"/>
      <c r="KF9" s="1954"/>
      <c r="KG9" s="1954"/>
      <c r="KH9" s="1940"/>
      <c r="KI9" s="1948"/>
      <c r="KJ9" s="1948"/>
      <c r="KK9" s="1948"/>
      <c r="KL9" s="1948"/>
      <c r="KM9" s="1948"/>
      <c r="KN9" s="1948"/>
      <c r="KO9" s="1948"/>
      <c r="KP9" s="1948"/>
      <c r="KQ9" s="1985"/>
      <c r="KR9" s="1985" t="s">
        <v>1657</v>
      </c>
      <c r="KS9" s="1948"/>
      <c r="KT9" s="1948"/>
      <c r="KU9" s="1948"/>
      <c r="KV9" s="1985"/>
      <c r="KW9" s="1948"/>
      <c r="KX9" s="1985"/>
      <c r="KY9" s="1985"/>
      <c r="KZ9" s="1985"/>
      <c r="LA9" s="1985"/>
      <c r="LB9" s="1985"/>
      <c r="LC9" s="1985" t="s">
        <v>1657</v>
      </c>
      <c r="LD9" s="1948"/>
      <c r="LE9" s="1985"/>
      <c r="LF9" s="1985"/>
      <c r="LG9" s="1985"/>
      <c r="LH9" s="1985" t="s">
        <v>1657</v>
      </c>
      <c r="LI9" s="1989"/>
      <c r="LJ9" s="1985"/>
      <c r="LK9" s="1985"/>
      <c r="LL9" s="1985"/>
      <c r="LM9" s="1985"/>
      <c r="LN9" s="1985"/>
      <c r="LO9" s="1992"/>
      <c r="LP9" s="1985" t="s">
        <v>1657</v>
      </c>
      <c r="LQ9" s="1945"/>
      <c r="LR9" s="1948"/>
      <c r="LS9" s="1948"/>
      <c r="LT9" s="1948"/>
      <c r="LU9" s="1948"/>
      <c r="LV9" s="1948"/>
      <c r="LW9" s="1948"/>
      <c r="LX9" s="1948"/>
      <c r="LY9" s="1948"/>
      <c r="LZ9" s="1985"/>
      <c r="MA9" s="1985" t="s">
        <v>1657</v>
      </c>
      <c r="MB9" s="1948"/>
      <c r="MC9" s="1948"/>
      <c r="MD9" s="1948"/>
      <c r="ME9" s="1985"/>
      <c r="MF9" s="1948"/>
      <c r="MG9" s="1985"/>
      <c r="MH9" s="1985"/>
      <c r="MI9" s="1985"/>
      <c r="MJ9" s="1985"/>
      <c r="MK9" s="1985"/>
      <c r="ML9" s="1985"/>
      <c r="MM9" s="1985" t="s">
        <v>1657</v>
      </c>
      <c r="MN9" s="1989"/>
      <c r="MO9" s="1995"/>
      <c r="MP9" s="1995" t="s">
        <v>1731</v>
      </c>
      <c r="MQ9" s="1989" t="s">
        <v>1732</v>
      </c>
      <c r="MR9" s="1989" t="s">
        <v>1733</v>
      </c>
      <c r="MS9" s="1989" t="s">
        <v>1734</v>
      </c>
      <c r="MT9" s="1989" t="s">
        <v>1735</v>
      </c>
      <c r="MU9" s="1989" t="s">
        <v>1736</v>
      </c>
      <c r="MV9" s="1989" t="s">
        <v>1737</v>
      </c>
      <c r="MW9" s="1989" t="s">
        <v>1738</v>
      </c>
      <c r="MX9" s="1989" t="s">
        <v>1739</v>
      </c>
      <c r="MY9" s="1785" t="s">
        <v>1455</v>
      </c>
      <c r="MZ9" s="1995" t="s">
        <v>1740</v>
      </c>
      <c r="NA9" s="1989" t="s">
        <v>1732</v>
      </c>
      <c r="NB9" s="1989" t="s">
        <v>1733</v>
      </c>
      <c r="NC9" s="1989" t="s">
        <v>1734</v>
      </c>
      <c r="ND9" s="1989" t="s">
        <v>1735</v>
      </c>
      <c r="NE9" s="1989" t="s">
        <v>1736</v>
      </c>
      <c r="NF9" s="1989" t="s">
        <v>1737</v>
      </c>
      <c r="NG9" s="1989" t="s">
        <v>1738</v>
      </c>
      <c r="NH9" s="1989" t="s">
        <v>1739</v>
      </c>
      <c r="NI9" s="1785" t="s">
        <v>1455</v>
      </c>
      <c r="NJ9" s="1999"/>
      <c r="NK9" s="1999" t="s">
        <v>1741</v>
      </c>
      <c r="NL9" s="2000" t="s">
        <v>1742</v>
      </c>
      <c r="NM9" s="1985"/>
      <c r="NN9" s="1985"/>
      <c r="NO9" s="1985"/>
      <c r="NP9" s="1985"/>
      <c r="NQ9" s="1985"/>
      <c r="NR9" s="1985" t="s">
        <v>1657</v>
      </c>
      <c r="NS9" s="1985"/>
      <c r="NT9" s="1985"/>
      <c r="NU9" s="1985"/>
      <c r="NV9" s="1985"/>
      <c r="NW9" s="1985"/>
      <c r="NX9" s="1985"/>
      <c r="NY9" s="1985"/>
      <c r="NZ9" s="1985"/>
      <c r="OA9" s="1997" t="s">
        <v>1657</v>
      </c>
      <c r="OB9" s="1585"/>
    </row>
    <row r="10" spans="1:392" s="414" customFormat="1">
      <c r="A10" s="1791"/>
      <c r="B10" s="1793"/>
      <c r="C10" s="1793"/>
      <c r="D10" s="1791"/>
      <c r="E10" s="1794"/>
      <c r="F10" s="1827"/>
      <c r="G10" s="1796"/>
      <c r="H10" s="1799"/>
      <c r="I10" s="1793"/>
      <c r="J10" s="1812"/>
      <c r="K10" s="1813"/>
      <c r="L10" s="1914"/>
      <c r="M10" s="1830"/>
      <c r="N10" s="1833"/>
      <c r="O10" s="1833"/>
      <c r="P10" s="1793"/>
      <c r="Q10" s="1799"/>
      <c r="R10" s="1793"/>
      <c r="S10" s="1793"/>
      <c r="T10" s="1822"/>
      <c r="U10" s="1824"/>
      <c r="V10" s="1824"/>
      <c r="W10" s="1824"/>
      <c r="X10" s="1824"/>
      <c r="Y10" s="1824"/>
      <c r="Z10" s="1824"/>
      <c r="AA10" s="1824"/>
      <c r="AB10" s="1824"/>
      <c r="AC10" s="1824"/>
      <c r="AD10" s="1824"/>
      <c r="AE10" s="1815"/>
      <c r="AF10" s="1819"/>
      <c r="AG10" s="1868"/>
      <c r="AH10" s="1815"/>
      <c r="AI10" s="1815"/>
      <c r="AJ10" s="1815"/>
      <c r="AK10" s="1815"/>
      <c r="AL10" s="1815"/>
      <c r="AM10" s="1815"/>
      <c r="AN10" s="1868"/>
      <c r="AO10" s="1815"/>
      <c r="AP10" s="1815"/>
      <c r="AQ10" s="1815"/>
      <c r="AR10" s="1815"/>
      <c r="AS10" s="1815"/>
      <c r="AT10" s="1815"/>
      <c r="AU10" s="1868"/>
      <c r="AV10" s="1815"/>
      <c r="AW10" s="1815"/>
      <c r="AX10" s="1815"/>
      <c r="AY10" s="1815"/>
      <c r="AZ10" s="1815"/>
      <c r="BA10" s="1815"/>
      <c r="BB10" s="1815"/>
      <c r="BC10" s="1868"/>
      <c r="BD10" s="1815"/>
      <c r="BE10" s="1815"/>
      <c r="BF10" s="1815"/>
      <c r="BG10" s="1815"/>
      <c r="BH10" s="1956"/>
      <c r="BI10" s="1819"/>
      <c r="BJ10" s="1868"/>
      <c r="BK10" s="1799"/>
      <c r="BL10" s="1799"/>
      <c r="BM10" s="1799"/>
      <c r="BN10" s="1799"/>
      <c r="BO10" s="1860"/>
      <c r="BP10" s="1793"/>
      <c r="BQ10" s="1821"/>
      <c r="BR10" s="1799"/>
      <c r="BS10" s="1799"/>
      <c r="BT10" s="1799"/>
      <c r="BU10" s="1799"/>
      <c r="BV10" s="1860"/>
      <c r="BW10" s="1799"/>
      <c r="BX10" s="1821"/>
      <c r="BY10" s="1799"/>
      <c r="BZ10" s="1799"/>
      <c r="CA10" s="1799"/>
      <c r="CB10" s="1799"/>
      <c r="CC10" s="1799"/>
      <c r="CD10" s="1860"/>
      <c r="CE10" s="1799"/>
      <c r="CF10" s="1821"/>
      <c r="CG10" s="1799"/>
      <c r="CH10" s="1799"/>
      <c r="CI10" s="1799"/>
      <c r="CJ10" s="1860"/>
      <c r="CK10" s="1860"/>
      <c r="CL10" s="1962"/>
      <c r="CM10" s="1819"/>
      <c r="CN10" s="1868"/>
      <c r="CO10" s="1799"/>
      <c r="CP10" s="1799"/>
      <c r="CQ10" s="1799"/>
      <c r="CR10" s="1799"/>
      <c r="CS10" s="1860"/>
      <c r="CT10" s="1793"/>
      <c r="CU10" s="1821"/>
      <c r="CV10" s="1799"/>
      <c r="CW10" s="1799"/>
      <c r="CX10" s="1799"/>
      <c r="CY10" s="1799"/>
      <c r="CZ10" s="1860"/>
      <c r="DA10" s="1799"/>
      <c r="DB10" s="1821"/>
      <c r="DC10" s="1799"/>
      <c r="DD10" s="1799"/>
      <c r="DE10" s="1799"/>
      <c r="DF10" s="1799"/>
      <c r="DG10" s="1799"/>
      <c r="DH10" s="1860"/>
      <c r="DI10" s="1799"/>
      <c r="DJ10" s="1821"/>
      <c r="DK10" s="1799"/>
      <c r="DL10" s="1799"/>
      <c r="DM10" s="1799"/>
      <c r="DN10" s="1860"/>
      <c r="DO10" s="1860"/>
      <c r="DP10" s="1830"/>
      <c r="DQ10" s="1853"/>
      <c r="DR10" s="1588"/>
      <c r="DS10" s="1821"/>
      <c r="DT10" s="1588"/>
      <c r="DU10" s="1588"/>
      <c r="DV10" s="2003"/>
      <c r="DW10" s="1859" t="s">
        <v>1657</v>
      </c>
      <c r="DX10" s="1822"/>
      <c r="DY10" s="1822"/>
      <c r="DZ10" s="1822"/>
      <c r="EA10" s="1822"/>
      <c r="EB10" s="1822"/>
      <c r="EC10" s="1868"/>
      <c r="ED10" s="1791"/>
      <c r="EE10" s="1799"/>
      <c r="EF10" s="1799"/>
      <c r="EG10" s="1799"/>
      <c r="EH10" s="1860"/>
      <c r="EI10" s="1867"/>
      <c r="EJ10" s="1799"/>
      <c r="EK10" s="1821"/>
      <c r="EL10" s="1821"/>
      <c r="EM10" s="1799"/>
      <c r="EN10" s="1860"/>
      <c r="EO10" s="1799"/>
      <c r="EP10" s="1853"/>
      <c r="EQ10" s="1821"/>
      <c r="ER10" s="1821"/>
      <c r="ES10" s="1799"/>
      <c r="ET10" s="1860"/>
      <c r="EU10" s="1799"/>
      <c r="EV10" s="1853"/>
      <c r="EW10" s="1856"/>
      <c r="EX10" s="1856"/>
      <c r="EY10" s="1593"/>
      <c r="EZ10" s="1856"/>
      <c r="FA10" s="1856"/>
      <c r="FB10" s="1593"/>
      <c r="FC10" s="1856"/>
      <c r="FD10" s="1856"/>
      <c r="FE10" s="1593"/>
      <c r="FF10" s="1821"/>
      <c r="FG10" s="1821"/>
      <c r="FH10" s="1799"/>
      <c r="FI10" s="1860"/>
      <c r="FJ10" s="1799"/>
      <c r="FK10" s="1853"/>
      <c r="FL10" s="1822"/>
      <c r="FM10" s="1822"/>
      <c r="FN10" s="1822"/>
      <c r="FO10" s="1822"/>
      <c r="FP10" s="1822"/>
      <c r="FQ10" s="1822"/>
      <c r="FR10" s="1822"/>
      <c r="FS10" s="1822"/>
      <c r="FT10" s="1822"/>
      <c r="FU10" s="1822"/>
      <c r="FV10" s="1822"/>
      <c r="FW10" s="1822"/>
      <c r="FX10" s="1822"/>
      <c r="FY10" s="1822"/>
      <c r="FZ10" s="1822"/>
      <c r="GA10" s="1822"/>
      <c r="GB10" s="1822"/>
      <c r="GC10" s="1822"/>
      <c r="GD10" s="1822"/>
      <c r="GE10" s="1822"/>
      <c r="GF10" s="1822"/>
      <c r="GG10" s="1822"/>
      <c r="GH10" s="1821"/>
      <c r="GI10" s="1799"/>
      <c r="GJ10" s="1799"/>
      <c r="GK10" s="1853"/>
      <c r="GL10" s="1860"/>
      <c r="GM10" s="1860"/>
      <c r="GN10" s="1897"/>
      <c r="GO10" s="1588"/>
      <c r="GP10" s="1588"/>
      <c r="GQ10" s="1897"/>
      <c r="GR10" s="1853"/>
      <c r="GS10" s="1853"/>
      <c r="GT10" s="1853"/>
      <c r="GU10" s="1856"/>
      <c r="GV10" s="1856"/>
      <c r="GW10" s="1593"/>
      <c r="GX10" s="1821"/>
      <c r="GY10" s="1799"/>
      <c r="GZ10" s="1799"/>
      <c r="HA10" s="1853"/>
      <c r="HB10" s="1856"/>
      <c r="HC10" s="1856"/>
      <c r="HD10" s="1593"/>
      <c r="HE10" s="1821"/>
      <c r="HF10" s="1799"/>
      <c r="HG10" s="1860"/>
      <c r="HH10" s="1973"/>
      <c r="HI10" s="1856"/>
      <c r="HJ10" s="1856"/>
      <c r="HK10" s="1979"/>
      <c r="HL10" s="1983"/>
      <c r="HM10" s="1983"/>
      <c r="HN10" s="1891"/>
      <c r="HO10" s="1897"/>
      <c r="HP10" s="1900"/>
      <c r="HQ10" s="1907"/>
      <c r="HR10" s="1894"/>
      <c r="HS10" s="1791"/>
      <c r="HT10" s="1907"/>
      <c r="HU10" s="1791"/>
      <c r="HV10" s="1821"/>
      <c r="HW10" s="1907"/>
      <c r="HX10" s="1907"/>
      <c r="HY10" s="1813"/>
      <c r="HZ10" s="1813"/>
      <c r="IA10" s="1907"/>
      <c r="IB10" s="1907"/>
      <c r="IC10" s="1907"/>
      <c r="ID10" s="1907"/>
      <c r="IE10" s="1907"/>
      <c r="IF10" s="1907"/>
      <c r="IG10" s="1821"/>
      <c r="IH10" s="1821"/>
      <c r="II10" s="1791"/>
      <c r="IJ10" s="1822"/>
      <c r="IK10" s="1588"/>
      <c r="IL10" s="1975"/>
      <c r="IM10" s="1905"/>
      <c r="IN10" s="1978"/>
      <c r="IO10" s="1911"/>
      <c r="IP10" s="1911"/>
      <c r="IQ10" s="1911"/>
      <c r="IR10" s="1911"/>
      <c r="IS10" s="1911"/>
      <c r="IT10" s="1911"/>
      <c r="IU10" s="1911"/>
      <c r="IV10" s="1967"/>
      <c r="IW10" s="1815"/>
      <c r="IX10" s="1969"/>
      <c r="IY10" s="1971"/>
      <c r="IZ10" s="1971"/>
      <c r="JA10" s="1815"/>
      <c r="JB10" s="1807"/>
      <c r="JC10" s="1807"/>
      <c r="JD10" s="1807"/>
      <c r="JE10" s="1807"/>
      <c r="JF10" s="1807"/>
      <c r="JG10" s="1809"/>
      <c r="JH10" s="1809"/>
      <c r="JI10" s="1809"/>
      <c r="JJ10" s="1902"/>
      <c r="JK10" s="1925"/>
      <c r="JL10" s="1868"/>
      <c r="JM10" s="1905"/>
      <c r="JN10" s="1905"/>
      <c r="JO10" s="1905"/>
      <c r="JP10" s="1905"/>
      <c r="JQ10" s="1905"/>
      <c r="JR10" s="1868"/>
      <c r="JS10" s="1905"/>
      <c r="JT10" s="1905"/>
      <c r="JU10" s="1905"/>
      <c r="JV10" s="1905"/>
      <c r="JW10" s="1905"/>
      <c r="JX10" s="1905"/>
      <c r="JY10" s="1905"/>
      <c r="JZ10" s="1905"/>
      <c r="KA10" s="1905"/>
      <c r="KB10" s="1905"/>
      <c r="KC10" s="1905"/>
      <c r="KD10" s="1952"/>
      <c r="KE10" s="1954"/>
      <c r="KF10" s="1954"/>
      <c r="KG10" s="1954"/>
      <c r="KH10" s="1940"/>
      <c r="KI10" s="1948"/>
      <c r="KJ10" s="1948"/>
      <c r="KK10" s="1948"/>
      <c r="KL10" s="1948"/>
      <c r="KM10" s="1948"/>
      <c r="KN10" s="1948"/>
      <c r="KO10" s="1948"/>
      <c r="KP10" s="1948"/>
      <c r="KQ10" s="1985"/>
      <c r="KR10" s="1954"/>
      <c r="KS10" s="1948"/>
      <c r="KT10" s="1948"/>
      <c r="KU10" s="1948"/>
      <c r="KV10" s="1985"/>
      <c r="KW10" s="1948"/>
      <c r="KX10" s="1985"/>
      <c r="KY10" s="1985"/>
      <c r="KZ10" s="1985"/>
      <c r="LA10" s="1985"/>
      <c r="LB10" s="1985"/>
      <c r="LC10" s="1954"/>
      <c r="LD10" s="1948"/>
      <c r="LE10" s="1985"/>
      <c r="LF10" s="1985"/>
      <c r="LG10" s="1985"/>
      <c r="LH10" s="1954"/>
      <c r="LI10" s="1989"/>
      <c r="LJ10" s="1985"/>
      <c r="LK10" s="1985"/>
      <c r="LL10" s="1985"/>
      <c r="LM10" s="1985"/>
      <c r="LN10" s="1985"/>
      <c r="LO10" s="1992"/>
      <c r="LP10" s="1954"/>
      <c r="LQ10" s="1945"/>
      <c r="LR10" s="1948"/>
      <c r="LS10" s="1948"/>
      <c r="LT10" s="1948"/>
      <c r="LU10" s="1948"/>
      <c r="LV10" s="1948"/>
      <c r="LW10" s="1948"/>
      <c r="LX10" s="1948"/>
      <c r="LY10" s="1948"/>
      <c r="LZ10" s="1985"/>
      <c r="MA10" s="1954"/>
      <c r="MB10" s="1948"/>
      <c r="MC10" s="1948"/>
      <c r="MD10" s="1948"/>
      <c r="ME10" s="1985"/>
      <c r="MF10" s="1948"/>
      <c r="MG10" s="1985"/>
      <c r="MH10" s="1985"/>
      <c r="MI10" s="1985"/>
      <c r="MJ10" s="1985"/>
      <c r="MK10" s="1985"/>
      <c r="ML10" s="1985"/>
      <c r="MM10" s="1954"/>
      <c r="MN10" s="1989"/>
      <c r="MO10" s="1995"/>
      <c r="MP10" s="2010"/>
      <c r="MQ10" s="1585"/>
      <c r="MR10" s="1585"/>
      <c r="MS10" s="1585"/>
      <c r="MT10" s="1585"/>
      <c r="MU10" s="1989"/>
      <c r="MV10" s="1989"/>
      <c r="MW10" s="1989"/>
      <c r="MX10" s="1585"/>
      <c r="MY10" s="1786"/>
      <c r="MZ10" s="2010"/>
      <c r="NA10" s="1585"/>
      <c r="NB10" s="1585"/>
      <c r="NC10" s="1585"/>
      <c r="ND10" s="1585"/>
      <c r="NE10" s="1989"/>
      <c r="NF10" s="1989"/>
      <c r="NG10" s="1989"/>
      <c r="NH10" s="1585"/>
      <c r="NI10" s="1786"/>
      <c r="NJ10" s="1999"/>
      <c r="NK10" s="1999"/>
      <c r="NL10" s="2000"/>
      <c r="NM10" s="1985"/>
      <c r="NN10" s="1985"/>
      <c r="NO10" s="1985"/>
      <c r="NP10" s="1985"/>
      <c r="NQ10" s="1985"/>
      <c r="NR10" s="1954"/>
      <c r="NS10" s="1985"/>
      <c r="NT10" s="1985"/>
      <c r="NU10" s="1985"/>
      <c r="NV10" s="1985"/>
      <c r="NW10" s="1985"/>
      <c r="NX10" s="1985"/>
      <c r="NY10" s="1985"/>
      <c r="NZ10" s="1985"/>
      <c r="OA10" s="2008"/>
      <c r="OB10" s="1585"/>
    </row>
    <row r="11" spans="1:392" s="414" customFormat="1">
      <c r="A11" s="1791"/>
      <c r="B11" s="1793"/>
      <c r="C11" s="1793"/>
      <c r="D11" s="1791"/>
      <c r="E11" s="1794"/>
      <c r="F11" s="1827"/>
      <c r="G11" s="1796"/>
      <c r="H11" s="1799"/>
      <c r="I11" s="1793"/>
      <c r="J11" s="1812"/>
      <c r="K11" s="1813"/>
      <c r="L11" s="1914"/>
      <c r="M11" s="1830"/>
      <c r="N11" s="1833"/>
      <c r="O11" s="1833"/>
      <c r="P11" s="1793"/>
      <c r="Q11" s="1799"/>
      <c r="R11" s="1793"/>
      <c r="S11" s="1793"/>
      <c r="T11" s="1822"/>
      <c r="U11" s="1824"/>
      <c r="V11" s="1824"/>
      <c r="W11" s="1824"/>
      <c r="X11" s="1824"/>
      <c r="Y11" s="1824"/>
      <c r="Z11" s="1824"/>
      <c r="AA11" s="1824"/>
      <c r="AB11" s="1824"/>
      <c r="AC11" s="1824"/>
      <c r="AD11" s="1824"/>
      <c r="AE11" s="1815"/>
      <c r="AF11" s="1819"/>
      <c r="AG11" s="1868"/>
      <c r="AH11" s="1815"/>
      <c r="AI11" s="1815"/>
      <c r="AJ11" s="1815"/>
      <c r="AK11" s="1815"/>
      <c r="AL11" s="1815"/>
      <c r="AM11" s="1815"/>
      <c r="AN11" s="1868"/>
      <c r="AO11" s="1815"/>
      <c r="AP11" s="1815"/>
      <c r="AQ11" s="1815"/>
      <c r="AR11" s="1815"/>
      <c r="AS11" s="1815"/>
      <c r="AT11" s="1815"/>
      <c r="AU11" s="1868"/>
      <c r="AV11" s="1815"/>
      <c r="AW11" s="1815"/>
      <c r="AX11" s="1815"/>
      <c r="AY11" s="1815"/>
      <c r="AZ11" s="1815"/>
      <c r="BA11" s="1815"/>
      <c r="BB11" s="1815"/>
      <c r="BC11" s="1868"/>
      <c r="BD11" s="1815"/>
      <c r="BE11" s="1815"/>
      <c r="BF11" s="1815"/>
      <c r="BG11" s="1815"/>
      <c r="BH11" s="1956"/>
      <c r="BI11" s="1819"/>
      <c r="BJ11" s="1868"/>
      <c r="BK11" s="1799"/>
      <c r="BL11" s="1799"/>
      <c r="BM11" s="1799"/>
      <c r="BN11" s="1799"/>
      <c r="BO11" s="1860"/>
      <c r="BP11" s="1793"/>
      <c r="BQ11" s="1821"/>
      <c r="BR11" s="1799"/>
      <c r="BS11" s="1799"/>
      <c r="BT11" s="1799"/>
      <c r="BU11" s="1799"/>
      <c r="BV11" s="1860"/>
      <c r="BW11" s="1799"/>
      <c r="BX11" s="1821"/>
      <c r="BY11" s="1799"/>
      <c r="BZ11" s="1799"/>
      <c r="CA11" s="1799"/>
      <c r="CB11" s="1799"/>
      <c r="CC11" s="1799"/>
      <c r="CD11" s="1860"/>
      <c r="CE11" s="1799"/>
      <c r="CF11" s="1821"/>
      <c r="CG11" s="1799"/>
      <c r="CH11" s="1799"/>
      <c r="CI11" s="1799"/>
      <c r="CJ11" s="1860"/>
      <c r="CK11" s="1860"/>
      <c r="CL11" s="1962"/>
      <c r="CM11" s="1819"/>
      <c r="CN11" s="1868"/>
      <c r="CO11" s="1799"/>
      <c r="CP11" s="1799"/>
      <c r="CQ11" s="1799"/>
      <c r="CR11" s="1799"/>
      <c r="CS11" s="1860"/>
      <c r="CT11" s="1793"/>
      <c r="CU11" s="1821"/>
      <c r="CV11" s="1799"/>
      <c r="CW11" s="1799"/>
      <c r="CX11" s="1799"/>
      <c r="CY11" s="1799"/>
      <c r="CZ11" s="1860"/>
      <c r="DA11" s="1799"/>
      <c r="DB11" s="1821"/>
      <c r="DC11" s="1799"/>
      <c r="DD11" s="1799"/>
      <c r="DE11" s="1799"/>
      <c r="DF11" s="1799"/>
      <c r="DG11" s="1799"/>
      <c r="DH11" s="1860"/>
      <c r="DI11" s="1799"/>
      <c r="DJ11" s="1821"/>
      <c r="DK11" s="1799"/>
      <c r="DL11" s="1799"/>
      <c r="DM11" s="1799"/>
      <c r="DN11" s="1860"/>
      <c r="DO11" s="1860"/>
      <c r="DP11" s="1830"/>
      <c r="DQ11" s="1853"/>
      <c r="DR11" s="1588"/>
      <c r="DS11" s="1821"/>
      <c r="DT11" s="1588"/>
      <c r="DU11" s="1588"/>
      <c r="DV11" s="2003"/>
      <c r="DW11" s="1588"/>
      <c r="DX11" s="1822"/>
      <c r="DY11" s="1822"/>
      <c r="DZ11" s="1822"/>
      <c r="EA11" s="1822"/>
      <c r="EB11" s="1822"/>
      <c r="EC11" s="1868"/>
      <c r="ED11" s="1791"/>
      <c r="EE11" s="1799"/>
      <c r="EF11" s="1799"/>
      <c r="EG11" s="1799"/>
      <c r="EH11" s="1860"/>
      <c r="EI11" s="1867"/>
      <c r="EJ11" s="1799"/>
      <c r="EK11" s="1821"/>
      <c r="EL11" s="1821"/>
      <c r="EM11" s="1799"/>
      <c r="EN11" s="1860"/>
      <c r="EO11" s="1799"/>
      <c r="EP11" s="1853"/>
      <c r="EQ11" s="1821"/>
      <c r="ER11" s="1821"/>
      <c r="ES11" s="1799"/>
      <c r="ET11" s="1860"/>
      <c r="EU11" s="1799"/>
      <c r="EV11" s="1853"/>
      <c r="EW11" s="1856"/>
      <c r="EX11" s="1856"/>
      <c r="EY11" s="1593"/>
      <c r="EZ11" s="1856"/>
      <c r="FA11" s="1856"/>
      <c r="FB11" s="1593"/>
      <c r="FC11" s="1856"/>
      <c r="FD11" s="1856"/>
      <c r="FE11" s="1593"/>
      <c r="FF11" s="1821"/>
      <c r="FG11" s="1821"/>
      <c r="FH11" s="1799"/>
      <c r="FI11" s="1860"/>
      <c r="FJ11" s="1799"/>
      <c r="FK11" s="1853"/>
      <c r="FL11" s="1822"/>
      <c r="FM11" s="1822"/>
      <c r="FN11" s="1822"/>
      <c r="FO11" s="1822"/>
      <c r="FP11" s="1822"/>
      <c r="FQ11" s="1822"/>
      <c r="FR11" s="1822"/>
      <c r="FS11" s="1822"/>
      <c r="FT11" s="1822"/>
      <c r="FU11" s="1822"/>
      <c r="FV11" s="1822"/>
      <c r="FW11" s="1822"/>
      <c r="FX11" s="1822"/>
      <c r="FY11" s="1822"/>
      <c r="FZ11" s="1822"/>
      <c r="GA11" s="1822"/>
      <c r="GB11" s="1822"/>
      <c r="GC11" s="1822"/>
      <c r="GD11" s="1822"/>
      <c r="GE11" s="1822"/>
      <c r="GF11" s="1822"/>
      <c r="GG11" s="1822"/>
      <c r="GH11" s="1821"/>
      <c r="GI11" s="1799"/>
      <c r="GJ11" s="1799"/>
      <c r="GK11" s="1853"/>
      <c r="GL11" s="1860"/>
      <c r="GM11" s="1860"/>
      <c r="GN11" s="1897"/>
      <c r="GO11" s="1588"/>
      <c r="GP11" s="1588"/>
      <c r="GQ11" s="1897"/>
      <c r="GR11" s="1853"/>
      <c r="GS11" s="1853"/>
      <c r="GT11" s="1853"/>
      <c r="GU11" s="1856"/>
      <c r="GV11" s="1856"/>
      <c r="GW11" s="1593"/>
      <c r="GX11" s="1821"/>
      <c r="GY11" s="1799"/>
      <c r="GZ11" s="1799"/>
      <c r="HA11" s="1853"/>
      <c r="HB11" s="1856"/>
      <c r="HC11" s="1856"/>
      <c r="HD11" s="1593"/>
      <c r="HE11" s="1821"/>
      <c r="HF11" s="1799"/>
      <c r="HG11" s="1860"/>
      <c r="HH11" s="1973"/>
      <c r="HI11" s="1856"/>
      <c r="HJ11" s="1856"/>
      <c r="HK11" s="1979"/>
      <c r="HL11" s="1983"/>
      <c r="HM11" s="1983"/>
      <c r="HN11" s="1891"/>
      <c r="HO11" s="1897"/>
      <c r="HP11" s="1900"/>
      <c r="HQ11" s="1907"/>
      <c r="HR11" s="1894"/>
      <c r="HS11" s="1791"/>
      <c r="HT11" s="1907"/>
      <c r="HU11" s="1791"/>
      <c r="HV11" s="1821"/>
      <c r="HW11" s="1907"/>
      <c r="HX11" s="1907"/>
      <c r="HY11" s="1813"/>
      <c r="HZ11" s="1813"/>
      <c r="IA11" s="1907"/>
      <c r="IB11" s="1907"/>
      <c r="IC11" s="1907"/>
      <c r="ID11" s="1907"/>
      <c r="IE11" s="1907"/>
      <c r="IF11" s="1907"/>
      <c r="IG11" s="1821"/>
      <c r="IH11" s="1821"/>
      <c r="II11" s="1791"/>
      <c r="IJ11" s="1822"/>
      <c r="IK11" s="1588"/>
      <c r="IL11" s="1975"/>
      <c r="IM11" s="1905"/>
      <c r="IN11" s="1978"/>
      <c r="IO11" s="1911"/>
      <c r="IP11" s="1911"/>
      <c r="IQ11" s="1911"/>
      <c r="IR11" s="1911"/>
      <c r="IS11" s="1911"/>
      <c r="IT11" s="1911"/>
      <c r="IU11" s="1911"/>
      <c r="IV11" s="1967"/>
      <c r="IW11" s="1815"/>
      <c r="IX11" s="1969"/>
      <c r="IY11" s="1971"/>
      <c r="IZ11" s="1971"/>
      <c r="JA11" s="1815"/>
      <c r="JB11" s="1807"/>
      <c r="JC11" s="1807"/>
      <c r="JD11" s="1807"/>
      <c r="JE11" s="1807"/>
      <c r="JF11" s="1807"/>
      <c r="JG11" s="1809"/>
      <c r="JH11" s="1809"/>
      <c r="JI11" s="1809"/>
      <c r="JJ11" s="1902"/>
      <c r="JK11" s="1925"/>
      <c r="JL11" s="1868"/>
      <c r="JM11" s="1905"/>
      <c r="JN11" s="1905"/>
      <c r="JO11" s="1905"/>
      <c r="JP11" s="1905"/>
      <c r="JQ11" s="1905"/>
      <c r="JR11" s="1868"/>
      <c r="JS11" s="1905"/>
      <c r="JT11" s="1905"/>
      <c r="JU11" s="1905"/>
      <c r="JV11" s="1905"/>
      <c r="JW11" s="1905"/>
      <c r="JX11" s="1905"/>
      <c r="JY11" s="1905"/>
      <c r="JZ11" s="1905"/>
      <c r="KA11" s="1905"/>
      <c r="KB11" s="1905"/>
      <c r="KC11" s="1905"/>
      <c r="KD11" s="1952"/>
      <c r="KE11" s="1954"/>
      <c r="KF11" s="1954"/>
      <c r="KG11" s="1954"/>
      <c r="KH11" s="1940"/>
      <c r="KI11" s="1948"/>
      <c r="KJ11" s="1948"/>
      <c r="KK11" s="1948"/>
      <c r="KL11" s="1948"/>
      <c r="KM11" s="1948"/>
      <c r="KN11" s="1948"/>
      <c r="KO11" s="1948"/>
      <c r="KP11" s="1948"/>
      <c r="KQ11" s="1985"/>
      <c r="KR11" s="1954"/>
      <c r="KS11" s="1948"/>
      <c r="KT11" s="1948"/>
      <c r="KU11" s="1948"/>
      <c r="KV11" s="1985"/>
      <c r="KW11" s="1948"/>
      <c r="KX11" s="1985"/>
      <c r="KY11" s="1985"/>
      <c r="KZ11" s="1985"/>
      <c r="LA11" s="1985"/>
      <c r="LB11" s="1985"/>
      <c r="LC11" s="1954"/>
      <c r="LD11" s="1948"/>
      <c r="LE11" s="1985"/>
      <c r="LF11" s="1985"/>
      <c r="LG11" s="1985"/>
      <c r="LH11" s="1954"/>
      <c r="LI11" s="1989"/>
      <c r="LJ11" s="1985"/>
      <c r="LK11" s="1985"/>
      <c r="LL11" s="1985"/>
      <c r="LM11" s="1985"/>
      <c r="LN11" s="1985"/>
      <c r="LO11" s="1992"/>
      <c r="LP11" s="1954"/>
      <c r="LQ11" s="1945"/>
      <c r="LR11" s="1948"/>
      <c r="LS11" s="1948"/>
      <c r="LT11" s="1948"/>
      <c r="LU11" s="1948"/>
      <c r="LV11" s="1948"/>
      <c r="LW11" s="1948"/>
      <c r="LX11" s="1948"/>
      <c r="LY11" s="1948"/>
      <c r="LZ11" s="1985"/>
      <c r="MA11" s="1954"/>
      <c r="MB11" s="1948"/>
      <c r="MC11" s="1948"/>
      <c r="MD11" s="1948"/>
      <c r="ME11" s="1985"/>
      <c r="MF11" s="1948"/>
      <c r="MG11" s="1985"/>
      <c r="MH11" s="1985"/>
      <c r="MI11" s="1985"/>
      <c r="MJ11" s="1985"/>
      <c r="MK11" s="1985"/>
      <c r="ML11" s="1985"/>
      <c r="MM11" s="1954"/>
      <c r="MN11" s="1989"/>
      <c r="MO11" s="1995"/>
      <c r="MP11" s="2010"/>
      <c r="MQ11" s="1585"/>
      <c r="MR11" s="1585"/>
      <c r="MS11" s="1585"/>
      <c r="MT11" s="1585"/>
      <c r="MU11" s="1989"/>
      <c r="MV11" s="1989"/>
      <c r="MW11" s="1989"/>
      <c r="MX11" s="1585"/>
      <c r="MY11" s="1786"/>
      <c r="MZ11" s="2010"/>
      <c r="NA11" s="1585"/>
      <c r="NB11" s="1585"/>
      <c r="NC11" s="1585"/>
      <c r="ND11" s="1585"/>
      <c r="NE11" s="1989"/>
      <c r="NF11" s="1989"/>
      <c r="NG11" s="1989"/>
      <c r="NH11" s="1585"/>
      <c r="NI11" s="1786"/>
      <c r="NJ11" s="1999"/>
      <c r="NK11" s="1999"/>
      <c r="NL11" s="2000"/>
      <c r="NM11" s="1985"/>
      <c r="NN11" s="1985"/>
      <c r="NO11" s="1985"/>
      <c r="NP11" s="1985"/>
      <c r="NQ11" s="1985"/>
      <c r="NR11" s="1954"/>
      <c r="NS11" s="1985"/>
      <c r="NT11" s="1985"/>
      <c r="NU11" s="1985"/>
      <c r="NV11" s="1985"/>
      <c r="NW11" s="1985"/>
      <c r="NX11" s="1985"/>
      <c r="NY11" s="1985"/>
      <c r="NZ11" s="1985"/>
      <c r="OA11" s="2008"/>
      <c r="OB11" s="1585"/>
    </row>
    <row r="12" spans="1:392" s="414" customFormat="1" ht="58.9" customHeight="1">
      <c r="A12" s="1791"/>
      <c r="B12" s="1793"/>
      <c r="C12" s="1793"/>
      <c r="D12" s="1791"/>
      <c r="E12" s="1794"/>
      <c r="F12" s="1828"/>
      <c r="G12" s="1797"/>
      <c r="H12" s="1792"/>
      <c r="I12" s="1793"/>
      <c r="J12" s="1812"/>
      <c r="K12" s="1813"/>
      <c r="L12" s="1914"/>
      <c r="M12" s="1831"/>
      <c r="N12" s="1834"/>
      <c r="O12" s="1834"/>
      <c r="P12" s="1793"/>
      <c r="Q12" s="1792"/>
      <c r="R12" s="1793"/>
      <c r="S12" s="1793"/>
      <c r="T12" s="1790"/>
      <c r="U12" s="1825"/>
      <c r="V12" s="1825"/>
      <c r="W12" s="1825"/>
      <c r="X12" s="1825"/>
      <c r="Y12" s="1825"/>
      <c r="Z12" s="1825"/>
      <c r="AA12" s="1825"/>
      <c r="AB12" s="1825"/>
      <c r="AC12" s="1825"/>
      <c r="AD12" s="1825"/>
      <c r="AE12" s="1816"/>
      <c r="AF12" s="1820"/>
      <c r="AG12" s="1915"/>
      <c r="AH12" s="1815"/>
      <c r="AI12" s="1815"/>
      <c r="AJ12" s="1815"/>
      <c r="AK12" s="1815"/>
      <c r="AL12" s="1815"/>
      <c r="AM12" s="1815"/>
      <c r="AN12" s="1915"/>
      <c r="AO12" s="1815"/>
      <c r="AP12" s="1815"/>
      <c r="AQ12" s="1815"/>
      <c r="AR12" s="1815"/>
      <c r="AS12" s="1815"/>
      <c r="AT12" s="1815"/>
      <c r="AU12" s="1915"/>
      <c r="AV12" s="1815"/>
      <c r="AW12" s="1815"/>
      <c r="AX12" s="1815"/>
      <c r="AY12" s="1815"/>
      <c r="AZ12" s="1815"/>
      <c r="BA12" s="1815"/>
      <c r="BB12" s="1815"/>
      <c r="BC12" s="1915"/>
      <c r="BD12" s="1815"/>
      <c r="BE12" s="1815"/>
      <c r="BF12" s="1815"/>
      <c r="BG12" s="1815"/>
      <c r="BH12" s="1956"/>
      <c r="BI12" s="1819"/>
      <c r="BJ12" s="1915"/>
      <c r="BK12" s="1792"/>
      <c r="BL12" s="1792"/>
      <c r="BM12" s="1792"/>
      <c r="BN12" s="1792"/>
      <c r="BO12" s="1861"/>
      <c r="BP12" s="1793"/>
      <c r="BQ12" s="1814"/>
      <c r="BR12" s="1792"/>
      <c r="BS12" s="1792"/>
      <c r="BT12" s="1792"/>
      <c r="BU12" s="1792"/>
      <c r="BV12" s="1861"/>
      <c r="BW12" s="1792"/>
      <c r="BX12" s="1814"/>
      <c r="BY12" s="1792"/>
      <c r="BZ12" s="1792"/>
      <c r="CA12" s="1792"/>
      <c r="CB12" s="1792"/>
      <c r="CC12" s="1792"/>
      <c r="CD12" s="1861"/>
      <c r="CE12" s="1792"/>
      <c r="CF12" s="1814"/>
      <c r="CG12" s="1792"/>
      <c r="CH12" s="1792"/>
      <c r="CI12" s="1792"/>
      <c r="CJ12" s="1861"/>
      <c r="CK12" s="1861"/>
      <c r="CL12" s="1963"/>
      <c r="CM12" s="1819"/>
      <c r="CN12" s="1915"/>
      <c r="CO12" s="1792"/>
      <c r="CP12" s="1792"/>
      <c r="CQ12" s="1792"/>
      <c r="CR12" s="1792"/>
      <c r="CS12" s="1861"/>
      <c r="CT12" s="1793"/>
      <c r="CU12" s="1814"/>
      <c r="CV12" s="1792"/>
      <c r="CW12" s="1792"/>
      <c r="CX12" s="1792"/>
      <c r="CY12" s="1792"/>
      <c r="CZ12" s="1861"/>
      <c r="DA12" s="1792"/>
      <c r="DB12" s="1814"/>
      <c r="DC12" s="1792"/>
      <c r="DD12" s="1792"/>
      <c r="DE12" s="1792"/>
      <c r="DF12" s="1792"/>
      <c r="DG12" s="1792"/>
      <c r="DH12" s="1861"/>
      <c r="DI12" s="1792"/>
      <c r="DJ12" s="1814"/>
      <c r="DK12" s="1792"/>
      <c r="DL12" s="1792"/>
      <c r="DM12" s="1792"/>
      <c r="DN12" s="1861"/>
      <c r="DO12" s="1861"/>
      <c r="DP12" s="1831"/>
      <c r="DQ12" s="1854"/>
      <c r="DR12" s="1589"/>
      <c r="DS12" s="1814"/>
      <c r="DT12" s="1589"/>
      <c r="DU12" s="1589"/>
      <c r="DV12" s="2004"/>
      <c r="DW12" s="1589"/>
      <c r="DX12" s="1790"/>
      <c r="DY12" s="1790"/>
      <c r="DZ12" s="1790"/>
      <c r="EA12" s="1790"/>
      <c r="EB12" s="1790"/>
      <c r="EC12" s="1868"/>
      <c r="ED12" s="1859"/>
      <c r="EE12" s="1792"/>
      <c r="EF12" s="1792"/>
      <c r="EG12" s="1792"/>
      <c r="EH12" s="1860"/>
      <c r="EI12" s="1912"/>
      <c r="EJ12" s="1792"/>
      <c r="EK12" s="1814"/>
      <c r="EL12" s="1814"/>
      <c r="EM12" s="1792"/>
      <c r="EN12" s="1861"/>
      <c r="EO12" s="1792"/>
      <c r="EP12" s="1854"/>
      <c r="EQ12" s="1814"/>
      <c r="ER12" s="1814"/>
      <c r="ES12" s="1792"/>
      <c r="ET12" s="1861"/>
      <c r="EU12" s="1792"/>
      <c r="EV12" s="1854"/>
      <c r="EW12" s="1857"/>
      <c r="EX12" s="1857"/>
      <c r="EY12" s="1578"/>
      <c r="EZ12" s="1857"/>
      <c r="FA12" s="1857"/>
      <c r="FB12" s="1578"/>
      <c r="FC12" s="1857"/>
      <c r="FD12" s="1857"/>
      <c r="FE12" s="1578"/>
      <c r="FF12" s="1814"/>
      <c r="FG12" s="1814"/>
      <c r="FH12" s="1792"/>
      <c r="FI12" s="1861"/>
      <c r="FJ12" s="1792"/>
      <c r="FK12" s="1854"/>
      <c r="FL12" s="1790"/>
      <c r="FM12" s="1790"/>
      <c r="FN12" s="1790"/>
      <c r="FO12" s="1790"/>
      <c r="FP12" s="1790"/>
      <c r="FQ12" s="1790"/>
      <c r="FR12" s="1790"/>
      <c r="FS12" s="1790"/>
      <c r="FT12" s="1790"/>
      <c r="FU12" s="1790"/>
      <c r="FV12" s="1790"/>
      <c r="FW12" s="1790"/>
      <c r="FX12" s="1790"/>
      <c r="FY12" s="1790"/>
      <c r="FZ12" s="1790"/>
      <c r="GA12" s="1790"/>
      <c r="GB12" s="1790"/>
      <c r="GC12" s="1790"/>
      <c r="GD12" s="1790"/>
      <c r="GE12" s="1790"/>
      <c r="GF12" s="1790"/>
      <c r="GG12" s="1790"/>
      <c r="GH12" s="1814"/>
      <c r="GI12" s="1792"/>
      <c r="GJ12" s="1792"/>
      <c r="GK12" s="1854"/>
      <c r="GL12" s="1861"/>
      <c r="GM12" s="1861"/>
      <c r="GN12" s="1898"/>
      <c r="GO12" s="1589"/>
      <c r="GP12" s="1589"/>
      <c r="GQ12" s="1898"/>
      <c r="GR12" s="1854"/>
      <c r="GS12" s="1854"/>
      <c r="GT12" s="1854"/>
      <c r="GU12" s="1857"/>
      <c r="GV12" s="1857"/>
      <c r="GW12" s="1578"/>
      <c r="GX12" s="1814"/>
      <c r="GY12" s="1792"/>
      <c r="GZ12" s="1792"/>
      <c r="HA12" s="1854"/>
      <c r="HB12" s="1857"/>
      <c r="HC12" s="1857"/>
      <c r="HD12" s="1578"/>
      <c r="HE12" s="1814"/>
      <c r="HF12" s="1792"/>
      <c r="HG12" s="1861"/>
      <c r="HH12" s="1811"/>
      <c r="HI12" s="1857"/>
      <c r="HJ12" s="1857"/>
      <c r="HK12" s="1980"/>
      <c r="HL12" s="1983"/>
      <c r="HM12" s="1983"/>
      <c r="HN12" s="1892"/>
      <c r="HO12" s="1898"/>
      <c r="HP12" s="1900"/>
      <c r="HQ12" s="1907"/>
      <c r="HR12" s="1895"/>
      <c r="HS12" s="1791"/>
      <c r="HT12" s="1907"/>
      <c r="HU12" s="1791"/>
      <c r="HV12" s="1814"/>
      <c r="HW12" s="1907"/>
      <c r="HX12" s="1907"/>
      <c r="HY12" s="1813"/>
      <c r="HZ12" s="1813"/>
      <c r="IA12" s="1907"/>
      <c r="IB12" s="1907"/>
      <c r="IC12" s="1907"/>
      <c r="ID12" s="1907"/>
      <c r="IE12" s="1907"/>
      <c r="IF12" s="1907"/>
      <c r="IG12" s="1814"/>
      <c r="IH12" s="1814"/>
      <c r="II12" s="1791"/>
      <c r="IJ12" s="1790"/>
      <c r="IK12" s="1589"/>
      <c r="IL12" s="1976"/>
      <c r="IM12" s="1906"/>
      <c r="IN12" s="1978"/>
      <c r="IO12" s="1911"/>
      <c r="IP12" s="1911"/>
      <c r="IQ12" s="1911"/>
      <c r="IR12" s="1911"/>
      <c r="IS12" s="1911"/>
      <c r="IT12" s="1911"/>
      <c r="IU12" s="1911"/>
      <c r="IV12" s="1967"/>
      <c r="IW12" s="1815"/>
      <c r="IX12" s="1969"/>
      <c r="IY12" s="1972"/>
      <c r="IZ12" s="1971"/>
      <c r="JA12" s="1815"/>
      <c r="JB12" s="1807"/>
      <c r="JC12" s="1807"/>
      <c r="JD12" s="1807"/>
      <c r="JE12" s="1807"/>
      <c r="JF12" s="1807"/>
      <c r="JG12" s="1810"/>
      <c r="JH12" s="1810"/>
      <c r="JI12" s="1810"/>
      <c r="JJ12" s="1903"/>
      <c r="JK12" s="1926"/>
      <c r="JL12" s="1868"/>
      <c r="JM12" s="1906"/>
      <c r="JN12" s="1906"/>
      <c r="JO12" s="1906"/>
      <c r="JP12" s="1906"/>
      <c r="JQ12" s="1906"/>
      <c r="JR12" s="1868"/>
      <c r="JS12" s="1906"/>
      <c r="JT12" s="1906"/>
      <c r="JU12" s="1906"/>
      <c r="JV12" s="1906"/>
      <c r="JW12" s="1906"/>
      <c r="JX12" s="1906"/>
      <c r="JY12" s="1906"/>
      <c r="JZ12" s="1906"/>
      <c r="KA12" s="1906"/>
      <c r="KB12" s="1906"/>
      <c r="KC12" s="1906"/>
      <c r="KD12" s="1952"/>
      <c r="KE12" s="1955"/>
      <c r="KF12" s="1955"/>
      <c r="KG12" s="1955"/>
      <c r="KH12" s="1941"/>
      <c r="KI12" s="1949"/>
      <c r="KJ12" s="1949"/>
      <c r="KK12" s="1949"/>
      <c r="KL12" s="1949"/>
      <c r="KM12" s="1949"/>
      <c r="KN12" s="1949"/>
      <c r="KO12" s="1949"/>
      <c r="KP12" s="1949"/>
      <c r="KQ12" s="1986"/>
      <c r="KR12" s="1955"/>
      <c r="KS12" s="1949"/>
      <c r="KT12" s="1949"/>
      <c r="KU12" s="1949"/>
      <c r="KV12" s="1986"/>
      <c r="KW12" s="1949"/>
      <c r="KX12" s="1986"/>
      <c r="KY12" s="1986"/>
      <c r="KZ12" s="1986"/>
      <c r="LA12" s="1986"/>
      <c r="LB12" s="1986"/>
      <c r="LC12" s="1955"/>
      <c r="LD12" s="1949"/>
      <c r="LE12" s="1986"/>
      <c r="LF12" s="1986"/>
      <c r="LG12" s="1986"/>
      <c r="LH12" s="1955"/>
      <c r="LI12" s="1990"/>
      <c r="LJ12" s="1986"/>
      <c r="LK12" s="1986"/>
      <c r="LL12" s="1986"/>
      <c r="LM12" s="1986"/>
      <c r="LN12" s="1986"/>
      <c r="LO12" s="1993"/>
      <c r="LP12" s="1955"/>
      <c r="LQ12" s="1946"/>
      <c r="LR12" s="1949"/>
      <c r="LS12" s="1949"/>
      <c r="LT12" s="1949"/>
      <c r="LU12" s="1949"/>
      <c r="LV12" s="1949"/>
      <c r="LW12" s="1949"/>
      <c r="LX12" s="1949"/>
      <c r="LY12" s="1949"/>
      <c r="LZ12" s="1986"/>
      <c r="MA12" s="1955"/>
      <c r="MB12" s="1949"/>
      <c r="MC12" s="1949"/>
      <c r="MD12" s="1949"/>
      <c r="ME12" s="1986"/>
      <c r="MF12" s="1949"/>
      <c r="MG12" s="1986"/>
      <c r="MH12" s="1986"/>
      <c r="MI12" s="1986"/>
      <c r="MJ12" s="1986"/>
      <c r="MK12" s="1986"/>
      <c r="ML12" s="1986"/>
      <c r="MM12" s="1955"/>
      <c r="MN12" s="1990"/>
      <c r="MO12" s="1996"/>
      <c r="MP12" s="2011"/>
      <c r="MQ12" s="1586"/>
      <c r="MR12" s="1586"/>
      <c r="MS12" s="1586"/>
      <c r="MT12" s="1586"/>
      <c r="MU12" s="1990"/>
      <c r="MV12" s="1990"/>
      <c r="MW12" s="1990"/>
      <c r="MX12" s="1586"/>
      <c r="MY12" s="1787"/>
      <c r="MZ12" s="2011"/>
      <c r="NA12" s="1586"/>
      <c r="NB12" s="1586"/>
      <c r="NC12" s="1586"/>
      <c r="ND12" s="1586"/>
      <c r="NE12" s="1990"/>
      <c r="NF12" s="1990"/>
      <c r="NG12" s="1990"/>
      <c r="NH12" s="1586"/>
      <c r="NI12" s="1787"/>
      <c r="NJ12" s="1999"/>
      <c r="NK12" s="1999"/>
      <c r="NL12" s="2000"/>
      <c r="NM12" s="1986"/>
      <c r="NN12" s="1986"/>
      <c r="NO12" s="1986"/>
      <c r="NP12" s="1986"/>
      <c r="NQ12" s="1986"/>
      <c r="NR12" s="1955"/>
      <c r="NS12" s="1986"/>
      <c r="NT12" s="1986"/>
      <c r="NU12" s="1986"/>
      <c r="NV12" s="1986"/>
      <c r="NW12" s="1986"/>
      <c r="NX12" s="1986"/>
      <c r="NY12" s="1986"/>
      <c r="NZ12" s="1986"/>
      <c r="OA12" s="2009"/>
      <c r="OB12" s="1586"/>
    </row>
    <row r="13" spans="1:392" s="414" customFormat="1">
      <c r="A13" s="456">
        <v>1</v>
      </c>
      <c r="B13" s="169">
        <f>A13+1</f>
        <v>2</v>
      </c>
      <c r="C13" s="169">
        <f>B13+1</f>
        <v>3</v>
      </c>
      <c r="D13" s="456">
        <f>C13+1</f>
        <v>4</v>
      </c>
      <c r="E13" s="169">
        <f>D13+1</f>
        <v>5</v>
      </c>
      <c r="F13" s="467">
        <f>E13+1</f>
        <v>6</v>
      </c>
      <c r="G13" s="467"/>
      <c r="H13" s="169">
        <f>F13+1</f>
        <v>7</v>
      </c>
      <c r="I13" s="169">
        <f>H13+1</f>
        <v>8</v>
      </c>
      <c r="J13" s="467">
        <f>I13+1</f>
        <v>9</v>
      </c>
      <c r="K13" s="458">
        <f>J13+1</f>
        <v>10</v>
      </c>
      <c r="L13" s="169">
        <f>K13+1</f>
        <v>11</v>
      </c>
      <c r="M13" s="169">
        <f>L13+1</f>
        <v>12</v>
      </c>
      <c r="N13" s="169">
        <f t="shared" ref="N13:S13" si="17">M13+1</f>
        <v>13</v>
      </c>
      <c r="O13" s="169">
        <f t="shared" si="17"/>
        <v>14</v>
      </c>
      <c r="P13" s="169">
        <f t="shared" si="17"/>
        <v>15</v>
      </c>
      <c r="Q13" s="169">
        <f t="shared" si="17"/>
        <v>16</v>
      </c>
      <c r="R13" s="169">
        <f t="shared" si="17"/>
        <v>17</v>
      </c>
      <c r="S13" s="169">
        <f t="shared" si="17"/>
        <v>18</v>
      </c>
      <c r="T13" s="458">
        <f>S13+1</f>
        <v>19</v>
      </c>
      <c r="U13" s="169">
        <f>T13+1</f>
        <v>20</v>
      </c>
      <c r="V13" s="169">
        <f t="shared" ref="V13:AD13" si="18">U13+1</f>
        <v>21</v>
      </c>
      <c r="W13" s="169">
        <f t="shared" si="18"/>
        <v>22</v>
      </c>
      <c r="X13" s="169">
        <f t="shared" si="18"/>
        <v>23</v>
      </c>
      <c r="Y13" s="169">
        <f t="shared" si="18"/>
        <v>24</v>
      </c>
      <c r="Z13" s="169">
        <f t="shared" si="18"/>
        <v>25</v>
      </c>
      <c r="AA13" s="169">
        <f t="shared" si="18"/>
        <v>26</v>
      </c>
      <c r="AB13" s="169">
        <f t="shared" si="18"/>
        <v>27</v>
      </c>
      <c r="AC13" s="169">
        <f t="shared" si="18"/>
        <v>28</v>
      </c>
      <c r="AD13" s="169">
        <f t="shared" si="18"/>
        <v>29</v>
      </c>
      <c r="AE13" s="457">
        <f>AD13+1</f>
        <v>30</v>
      </c>
      <c r="AF13" s="457">
        <f>AE13+1</f>
        <v>31</v>
      </c>
      <c r="AG13" s="457">
        <f t="shared" ref="AG13:BP13" si="19">AF13+1</f>
        <v>32</v>
      </c>
      <c r="AH13" s="457">
        <f t="shared" si="19"/>
        <v>33</v>
      </c>
      <c r="AI13" s="457">
        <f t="shared" si="19"/>
        <v>34</v>
      </c>
      <c r="AJ13" s="457">
        <f t="shared" si="19"/>
        <v>35</v>
      </c>
      <c r="AK13" s="457">
        <f t="shared" si="19"/>
        <v>36</v>
      </c>
      <c r="AL13" s="457">
        <f t="shared" si="19"/>
        <v>37</v>
      </c>
      <c r="AM13" s="457">
        <f t="shared" si="19"/>
        <v>38</v>
      </c>
      <c r="AN13" s="457">
        <f t="shared" si="19"/>
        <v>39</v>
      </c>
      <c r="AO13" s="457">
        <f t="shared" si="19"/>
        <v>40</v>
      </c>
      <c r="AP13" s="457">
        <f t="shared" si="19"/>
        <v>41</v>
      </c>
      <c r="AQ13" s="457">
        <f t="shared" si="19"/>
        <v>42</v>
      </c>
      <c r="AR13" s="457">
        <f t="shared" si="19"/>
        <v>43</v>
      </c>
      <c r="AS13" s="457">
        <f t="shared" si="19"/>
        <v>44</v>
      </c>
      <c r="AT13" s="457">
        <f t="shared" si="19"/>
        <v>45</v>
      </c>
      <c r="AU13" s="457">
        <f t="shared" si="19"/>
        <v>46</v>
      </c>
      <c r="AV13" s="457">
        <f t="shared" si="19"/>
        <v>47</v>
      </c>
      <c r="AW13" s="457">
        <f t="shared" si="19"/>
        <v>48</v>
      </c>
      <c r="AX13" s="457">
        <f t="shared" si="19"/>
        <v>49</v>
      </c>
      <c r="AY13" s="457">
        <f t="shared" si="19"/>
        <v>50</v>
      </c>
      <c r="AZ13" s="457">
        <f t="shared" si="19"/>
        <v>51</v>
      </c>
      <c r="BA13" s="457">
        <f t="shared" si="19"/>
        <v>52</v>
      </c>
      <c r="BB13" s="457">
        <f t="shared" si="19"/>
        <v>53</v>
      </c>
      <c r="BC13" s="457">
        <f t="shared" si="19"/>
        <v>54</v>
      </c>
      <c r="BD13" s="457">
        <f t="shared" si="19"/>
        <v>55</v>
      </c>
      <c r="BE13" s="457">
        <f t="shared" si="19"/>
        <v>56</v>
      </c>
      <c r="BF13" s="457">
        <f t="shared" si="19"/>
        <v>57</v>
      </c>
      <c r="BG13" s="457">
        <f t="shared" si="19"/>
        <v>58</v>
      </c>
      <c r="BH13" s="468">
        <f t="shared" si="19"/>
        <v>59</v>
      </c>
      <c r="BI13" s="468">
        <f t="shared" si="19"/>
        <v>60</v>
      </c>
      <c r="BJ13" s="457">
        <f t="shared" si="19"/>
        <v>61</v>
      </c>
      <c r="BK13" s="169">
        <f t="shared" si="19"/>
        <v>62</v>
      </c>
      <c r="BL13" s="169">
        <f t="shared" si="19"/>
        <v>63</v>
      </c>
      <c r="BM13" s="169">
        <f t="shared" si="19"/>
        <v>64</v>
      </c>
      <c r="BN13" s="169">
        <f t="shared" si="19"/>
        <v>65</v>
      </c>
      <c r="BO13" s="169">
        <f t="shared" si="19"/>
        <v>66</v>
      </c>
      <c r="BP13" s="169">
        <f t="shared" si="19"/>
        <v>67</v>
      </c>
      <c r="BQ13" s="457">
        <f>BP13+1</f>
        <v>68</v>
      </c>
      <c r="BR13" s="169">
        <f t="shared" ref="BR13:DQ13" si="20">BQ13+1</f>
        <v>69</v>
      </c>
      <c r="BS13" s="169">
        <f t="shared" si="20"/>
        <v>70</v>
      </c>
      <c r="BT13" s="169">
        <f t="shared" si="20"/>
        <v>71</v>
      </c>
      <c r="BU13" s="169">
        <f t="shared" si="20"/>
        <v>72</v>
      </c>
      <c r="BV13" s="169">
        <f t="shared" si="20"/>
        <v>73</v>
      </c>
      <c r="BW13" s="169">
        <f t="shared" si="20"/>
        <v>74</v>
      </c>
      <c r="BX13" s="457">
        <f t="shared" si="20"/>
        <v>75</v>
      </c>
      <c r="BY13" s="169">
        <f t="shared" si="20"/>
        <v>76</v>
      </c>
      <c r="BZ13" s="169">
        <f t="shared" si="20"/>
        <v>77</v>
      </c>
      <c r="CA13" s="169">
        <f t="shared" si="20"/>
        <v>78</v>
      </c>
      <c r="CB13" s="169">
        <f t="shared" si="20"/>
        <v>79</v>
      </c>
      <c r="CC13" s="169">
        <f t="shared" si="20"/>
        <v>80</v>
      </c>
      <c r="CD13" s="169">
        <f t="shared" si="20"/>
        <v>81</v>
      </c>
      <c r="CE13" s="169">
        <f t="shared" si="20"/>
        <v>82</v>
      </c>
      <c r="CF13" s="457">
        <f t="shared" si="20"/>
        <v>83</v>
      </c>
      <c r="CG13" s="169">
        <f t="shared" si="20"/>
        <v>84</v>
      </c>
      <c r="CH13" s="169">
        <f t="shared" si="20"/>
        <v>85</v>
      </c>
      <c r="CI13" s="169">
        <f t="shared" si="20"/>
        <v>86</v>
      </c>
      <c r="CJ13" s="169">
        <f t="shared" si="20"/>
        <v>87</v>
      </c>
      <c r="CK13" s="169">
        <f t="shared" si="20"/>
        <v>88</v>
      </c>
      <c r="CL13" s="456">
        <f t="shared" si="20"/>
        <v>89</v>
      </c>
      <c r="CM13" s="457">
        <f t="shared" si="20"/>
        <v>90</v>
      </c>
      <c r="CN13" s="457">
        <f t="shared" si="20"/>
        <v>91</v>
      </c>
      <c r="CO13" s="169">
        <f t="shared" si="20"/>
        <v>92</v>
      </c>
      <c r="CP13" s="169">
        <f t="shared" si="20"/>
        <v>93</v>
      </c>
      <c r="CQ13" s="169">
        <f t="shared" si="20"/>
        <v>94</v>
      </c>
      <c r="CR13" s="169">
        <f t="shared" si="20"/>
        <v>95</v>
      </c>
      <c r="CS13" s="169">
        <f t="shared" si="20"/>
        <v>96</v>
      </c>
      <c r="CT13" s="169">
        <f t="shared" si="20"/>
        <v>97</v>
      </c>
      <c r="CU13" s="457">
        <f t="shared" si="20"/>
        <v>98</v>
      </c>
      <c r="CV13" s="169">
        <f t="shared" si="20"/>
        <v>99</v>
      </c>
      <c r="CW13" s="169">
        <f t="shared" si="20"/>
        <v>100</v>
      </c>
      <c r="CX13" s="169">
        <f t="shared" si="20"/>
        <v>101</v>
      </c>
      <c r="CY13" s="169">
        <f t="shared" si="20"/>
        <v>102</v>
      </c>
      <c r="CZ13" s="169">
        <f t="shared" si="20"/>
        <v>103</v>
      </c>
      <c r="DA13" s="169">
        <f t="shared" si="20"/>
        <v>104</v>
      </c>
      <c r="DB13" s="457">
        <f t="shared" si="20"/>
        <v>105</v>
      </c>
      <c r="DC13" s="169">
        <f t="shared" si="20"/>
        <v>106</v>
      </c>
      <c r="DD13" s="169">
        <f t="shared" si="20"/>
        <v>107</v>
      </c>
      <c r="DE13" s="169">
        <f t="shared" si="20"/>
        <v>108</v>
      </c>
      <c r="DF13" s="169">
        <f t="shared" si="20"/>
        <v>109</v>
      </c>
      <c r="DG13" s="169">
        <f t="shared" si="20"/>
        <v>110</v>
      </c>
      <c r="DH13" s="169">
        <f t="shared" si="20"/>
        <v>111</v>
      </c>
      <c r="DI13" s="169">
        <f t="shared" si="20"/>
        <v>112</v>
      </c>
      <c r="DJ13" s="457">
        <f t="shared" si="20"/>
        <v>113</v>
      </c>
      <c r="DK13" s="169">
        <f t="shared" si="20"/>
        <v>114</v>
      </c>
      <c r="DL13" s="169">
        <f t="shared" si="20"/>
        <v>115</v>
      </c>
      <c r="DM13" s="169">
        <f t="shared" si="20"/>
        <v>116</v>
      </c>
      <c r="DN13" s="174">
        <f t="shared" si="20"/>
        <v>117</v>
      </c>
      <c r="DO13" s="174">
        <f t="shared" si="20"/>
        <v>118</v>
      </c>
      <c r="DP13" s="174">
        <f t="shared" si="20"/>
        <v>119</v>
      </c>
      <c r="DQ13" s="530">
        <f t="shared" si="20"/>
        <v>120</v>
      </c>
      <c r="DR13" s="507">
        <f>DQ13+1</f>
        <v>121</v>
      </c>
      <c r="DS13" s="507">
        <f>DR13+1</f>
        <v>122</v>
      </c>
      <c r="DT13" s="459">
        <f t="shared" ref="DT13:EB13" si="21">DS13+1</f>
        <v>123</v>
      </c>
      <c r="DU13" s="459">
        <f t="shared" si="21"/>
        <v>124</v>
      </c>
      <c r="DV13" s="459">
        <f>DU13+1</f>
        <v>125</v>
      </c>
      <c r="DW13" s="459">
        <f t="shared" si="21"/>
        <v>126</v>
      </c>
      <c r="DX13" s="459">
        <f t="shared" si="21"/>
        <v>127</v>
      </c>
      <c r="DY13" s="459">
        <f t="shared" si="21"/>
        <v>128</v>
      </c>
      <c r="DZ13" s="459">
        <f t="shared" si="21"/>
        <v>129</v>
      </c>
      <c r="EA13" s="459">
        <f t="shared" si="21"/>
        <v>130</v>
      </c>
      <c r="EB13" s="459">
        <f t="shared" si="21"/>
        <v>131</v>
      </c>
      <c r="EC13" s="457">
        <f>EB13+1</f>
        <v>132</v>
      </c>
      <c r="ED13" s="456">
        <f t="shared" ref="ED13:EJ13" si="22">EC13+1</f>
        <v>133</v>
      </c>
      <c r="EE13" s="169">
        <f t="shared" si="22"/>
        <v>134</v>
      </c>
      <c r="EF13" s="169">
        <f t="shared" si="22"/>
        <v>135</v>
      </c>
      <c r="EG13" s="169">
        <f t="shared" si="22"/>
        <v>136</v>
      </c>
      <c r="EH13" s="169">
        <f t="shared" si="22"/>
        <v>137</v>
      </c>
      <c r="EI13" s="456">
        <f t="shared" si="22"/>
        <v>138</v>
      </c>
      <c r="EJ13" s="169">
        <f t="shared" si="22"/>
        <v>139</v>
      </c>
      <c r="EK13" s="458">
        <f t="shared" ref="EK13:EY13" si="23">EJ13+1</f>
        <v>140</v>
      </c>
      <c r="EL13" s="458">
        <f t="shared" si="23"/>
        <v>141</v>
      </c>
      <c r="EM13" s="169">
        <f t="shared" si="23"/>
        <v>142</v>
      </c>
      <c r="EN13" s="169">
        <f t="shared" si="23"/>
        <v>143</v>
      </c>
      <c r="EO13" s="169">
        <f t="shared" si="23"/>
        <v>144</v>
      </c>
      <c r="EP13" s="467">
        <f t="shared" si="23"/>
        <v>145</v>
      </c>
      <c r="EQ13" s="458">
        <f t="shared" si="23"/>
        <v>146</v>
      </c>
      <c r="ER13" s="458">
        <f t="shared" si="23"/>
        <v>147</v>
      </c>
      <c r="ES13" s="169">
        <f t="shared" si="23"/>
        <v>148</v>
      </c>
      <c r="ET13" s="169">
        <f t="shared" si="23"/>
        <v>149</v>
      </c>
      <c r="EU13" s="169">
        <f t="shared" si="23"/>
        <v>150</v>
      </c>
      <c r="EV13" s="467">
        <f t="shared" si="23"/>
        <v>151</v>
      </c>
      <c r="EW13" s="169">
        <f t="shared" si="23"/>
        <v>152</v>
      </c>
      <c r="EX13" s="169">
        <f t="shared" si="23"/>
        <v>153</v>
      </c>
      <c r="EY13" s="467">
        <f t="shared" si="23"/>
        <v>154</v>
      </c>
      <c r="EZ13" s="169">
        <f t="shared" ref="EZ13:FK13" si="24">EY13+1</f>
        <v>155</v>
      </c>
      <c r="FA13" s="169">
        <f t="shared" si="24"/>
        <v>156</v>
      </c>
      <c r="FB13" s="467">
        <f t="shared" si="24"/>
        <v>157</v>
      </c>
      <c r="FC13" s="169">
        <f t="shared" si="24"/>
        <v>158</v>
      </c>
      <c r="FD13" s="169">
        <f t="shared" si="24"/>
        <v>159</v>
      </c>
      <c r="FE13" s="467">
        <f t="shared" si="24"/>
        <v>160</v>
      </c>
      <c r="FF13" s="458">
        <f t="shared" si="24"/>
        <v>161</v>
      </c>
      <c r="FG13" s="458">
        <f t="shared" si="24"/>
        <v>162</v>
      </c>
      <c r="FH13" s="169">
        <f t="shared" si="24"/>
        <v>163</v>
      </c>
      <c r="FI13" s="169">
        <f t="shared" si="24"/>
        <v>164</v>
      </c>
      <c r="FJ13" s="169">
        <f t="shared" si="24"/>
        <v>165</v>
      </c>
      <c r="FK13" s="467">
        <f t="shared" si="24"/>
        <v>166</v>
      </c>
      <c r="FL13" s="456">
        <f>FK13+1</f>
        <v>167</v>
      </c>
      <c r="FM13" s="456">
        <f t="shared" ref="FM13:GK13" si="25">FL13+1</f>
        <v>168</v>
      </c>
      <c r="FN13" s="456">
        <f t="shared" si="25"/>
        <v>169</v>
      </c>
      <c r="FO13" s="456">
        <f t="shared" si="25"/>
        <v>170</v>
      </c>
      <c r="FP13" s="456">
        <f t="shared" si="25"/>
        <v>171</v>
      </c>
      <c r="FQ13" s="456">
        <f t="shared" si="25"/>
        <v>172</v>
      </c>
      <c r="FR13" s="456">
        <f t="shared" si="25"/>
        <v>173</v>
      </c>
      <c r="FS13" s="456">
        <f t="shared" si="25"/>
        <v>174</v>
      </c>
      <c r="FT13" s="456">
        <f t="shared" si="25"/>
        <v>175</v>
      </c>
      <c r="FU13" s="456">
        <f t="shared" si="25"/>
        <v>176</v>
      </c>
      <c r="FV13" s="456">
        <f t="shared" si="25"/>
        <v>177</v>
      </c>
      <c r="FW13" s="456">
        <f t="shared" si="25"/>
        <v>178</v>
      </c>
      <c r="FX13" s="456">
        <f t="shared" si="25"/>
        <v>179</v>
      </c>
      <c r="FY13" s="456">
        <f t="shared" si="25"/>
        <v>180</v>
      </c>
      <c r="FZ13" s="456">
        <f t="shared" si="25"/>
        <v>181</v>
      </c>
      <c r="GA13" s="456">
        <f t="shared" si="25"/>
        <v>182</v>
      </c>
      <c r="GB13" s="456">
        <f t="shared" si="25"/>
        <v>183</v>
      </c>
      <c r="GC13" s="456">
        <f t="shared" si="25"/>
        <v>184</v>
      </c>
      <c r="GD13" s="456">
        <f t="shared" si="25"/>
        <v>185</v>
      </c>
      <c r="GE13" s="456">
        <f t="shared" si="25"/>
        <v>186</v>
      </c>
      <c r="GF13" s="456">
        <f t="shared" si="25"/>
        <v>187</v>
      </c>
      <c r="GG13" s="456">
        <f t="shared" si="25"/>
        <v>188</v>
      </c>
      <c r="GH13" s="458">
        <f t="shared" si="25"/>
        <v>189</v>
      </c>
      <c r="GI13" s="169">
        <f t="shared" si="25"/>
        <v>190</v>
      </c>
      <c r="GJ13" s="169">
        <f t="shared" si="25"/>
        <v>191</v>
      </c>
      <c r="GK13" s="467">
        <f t="shared" si="25"/>
        <v>192</v>
      </c>
      <c r="GL13" s="169">
        <f>GK13+1</f>
        <v>193</v>
      </c>
      <c r="GM13" s="169">
        <f>GL13+1</f>
        <v>194</v>
      </c>
      <c r="GN13" s="458">
        <f>GM13+1</f>
        <v>195</v>
      </c>
      <c r="GO13" s="467">
        <f>GN13+1</f>
        <v>196</v>
      </c>
      <c r="GP13" s="467">
        <f>GO13+1</f>
        <v>197</v>
      </c>
      <c r="GQ13" s="458">
        <f t="shared" ref="GQ13:HJ13" si="26">GP13+1</f>
        <v>198</v>
      </c>
      <c r="GR13" s="467">
        <f t="shared" si="26"/>
        <v>199</v>
      </c>
      <c r="GS13" s="467">
        <f t="shared" si="26"/>
        <v>200</v>
      </c>
      <c r="GT13" s="467">
        <f t="shared" si="26"/>
        <v>201</v>
      </c>
      <c r="GU13" s="169">
        <f t="shared" si="26"/>
        <v>202</v>
      </c>
      <c r="GV13" s="169">
        <f t="shared" si="26"/>
        <v>203</v>
      </c>
      <c r="GW13" s="467">
        <f t="shared" si="26"/>
        <v>204</v>
      </c>
      <c r="GX13" s="458">
        <f t="shared" si="26"/>
        <v>205</v>
      </c>
      <c r="GY13" s="169">
        <f t="shared" si="26"/>
        <v>206</v>
      </c>
      <c r="GZ13" s="169">
        <f t="shared" si="26"/>
        <v>207</v>
      </c>
      <c r="HA13" s="467">
        <f t="shared" si="26"/>
        <v>208</v>
      </c>
      <c r="HB13" s="169">
        <f t="shared" si="26"/>
        <v>209</v>
      </c>
      <c r="HC13" s="169">
        <f t="shared" si="26"/>
        <v>210</v>
      </c>
      <c r="HD13" s="467">
        <f t="shared" si="26"/>
        <v>211</v>
      </c>
      <c r="HE13" s="458">
        <f t="shared" si="26"/>
        <v>212</v>
      </c>
      <c r="HF13" s="169">
        <f t="shared" si="26"/>
        <v>213</v>
      </c>
      <c r="HG13" s="169">
        <f t="shared" si="26"/>
        <v>214</v>
      </c>
      <c r="HH13" s="467">
        <f t="shared" si="26"/>
        <v>215</v>
      </c>
      <c r="HI13" s="169">
        <f t="shared" si="26"/>
        <v>216</v>
      </c>
      <c r="HJ13" s="169">
        <f t="shared" si="26"/>
        <v>217</v>
      </c>
      <c r="HK13" s="467">
        <f>HJ13+1</f>
        <v>218</v>
      </c>
      <c r="HL13" s="169">
        <f>HK13+1</f>
        <v>219</v>
      </c>
      <c r="HM13" s="169">
        <f>HL13+1</f>
        <v>220</v>
      </c>
      <c r="HN13" s="458">
        <f t="shared" ref="HN13:IH13" si="27">HM13+1</f>
        <v>221</v>
      </c>
      <c r="HO13" s="458">
        <f t="shared" si="27"/>
        <v>222</v>
      </c>
      <c r="HP13" s="458">
        <f t="shared" si="27"/>
        <v>223</v>
      </c>
      <c r="HQ13" s="457">
        <f t="shared" si="27"/>
        <v>224</v>
      </c>
      <c r="HR13" s="169">
        <f t="shared" si="27"/>
        <v>225</v>
      </c>
      <c r="HS13" s="456">
        <f t="shared" si="27"/>
        <v>226</v>
      </c>
      <c r="HT13" s="458">
        <f t="shared" si="27"/>
        <v>227</v>
      </c>
      <c r="HU13" s="456">
        <f t="shared" si="27"/>
        <v>228</v>
      </c>
      <c r="HV13" s="458">
        <f t="shared" si="27"/>
        <v>229</v>
      </c>
      <c r="HW13" s="458">
        <f>HV13+1</f>
        <v>230</v>
      </c>
      <c r="HX13" s="458">
        <f t="shared" si="27"/>
        <v>231</v>
      </c>
      <c r="HY13" s="458">
        <f t="shared" si="27"/>
        <v>232</v>
      </c>
      <c r="HZ13" s="458">
        <f t="shared" si="27"/>
        <v>233</v>
      </c>
      <c r="IA13" s="458">
        <f t="shared" si="27"/>
        <v>234</v>
      </c>
      <c r="IB13" s="458">
        <f t="shared" si="27"/>
        <v>235</v>
      </c>
      <c r="IC13" s="458">
        <f t="shared" si="27"/>
        <v>236</v>
      </c>
      <c r="ID13" s="458">
        <f t="shared" si="27"/>
        <v>237</v>
      </c>
      <c r="IE13" s="458">
        <f t="shared" si="27"/>
        <v>238</v>
      </c>
      <c r="IF13" s="458">
        <f t="shared" si="27"/>
        <v>239</v>
      </c>
      <c r="IG13" s="458">
        <f t="shared" si="27"/>
        <v>240</v>
      </c>
      <c r="IH13" s="458">
        <f t="shared" si="27"/>
        <v>241</v>
      </c>
      <c r="II13" s="456">
        <f>IH13+1</f>
        <v>242</v>
      </c>
      <c r="IJ13" s="456">
        <f>II13+1</f>
        <v>243</v>
      </c>
      <c r="IK13" s="456">
        <f>IJ13+1</f>
        <v>244</v>
      </c>
      <c r="IL13" s="457">
        <f>IK13+1</f>
        <v>245</v>
      </c>
      <c r="IM13" s="169">
        <f>IL13+1</f>
        <v>246</v>
      </c>
      <c r="IN13" s="169">
        <f t="shared" ref="IN13:KC13" si="28">IM13+1</f>
        <v>247</v>
      </c>
      <c r="IO13" s="169">
        <f t="shared" si="28"/>
        <v>248</v>
      </c>
      <c r="IP13" s="169">
        <f t="shared" si="28"/>
        <v>249</v>
      </c>
      <c r="IQ13" s="169">
        <f t="shared" si="28"/>
        <v>250</v>
      </c>
      <c r="IR13" s="169">
        <f t="shared" si="28"/>
        <v>251</v>
      </c>
      <c r="IS13" s="169">
        <f>IR13+1</f>
        <v>252</v>
      </c>
      <c r="IT13" s="169">
        <f t="shared" si="28"/>
        <v>253</v>
      </c>
      <c r="IU13" s="169">
        <f t="shared" si="28"/>
        <v>254</v>
      </c>
      <c r="IV13" s="169">
        <f t="shared" si="28"/>
        <v>255</v>
      </c>
      <c r="IW13" s="457">
        <f t="shared" si="28"/>
        <v>256</v>
      </c>
      <c r="IX13" s="169">
        <f t="shared" si="28"/>
        <v>257</v>
      </c>
      <c r="IY13" s="169">
        <f t="shared" si="28"/>
        <v>258</v>
      </c>
      <c r="IZ13" s="169">
        <f t="shared" si="28"/>
        <v>259</v>
      </c>
      <c r="JA13" s="457">
        <f t="shared" si="28"/>
        <v>260</v>
      </c>
      <c r="JB13" s="169">
        <f t="shared" si="28"/>
        <v>261</v>
      </c>
      <c r="JC13" s="169">
        <f t="shared" si="28"/>
        <v>262</v>
      </c>
      <c r="JD13" s="169">
        <f>JC13+1</f>
        <v>263</v>
      </c>
      <c r="JE13" s="169">
        <f t="shared" si="28"/>
        <v>264</v>
      </c>
      <c r="JF13" s="169">
        <f t="shared" si="28"/>
        <v>265</v>
      </c>
      <c r="JG13" s="169">
        <f t="shared" si="28"/>
        <v>266</v>
      </c>
      <c r="JH13" s="169">
        <f t="shared" si="28"/>
        <v>267</v>
      </c>
      <c r="JI13" s="169">
        <f t="shared" si="28"/>
        <v>268</v>
      </c>
      <c r="JJ13" s="169">
        <f t="shared" si="28"/>
        <v>269</v>
      </c>
      <c r="JK13" s="169">
        <f t="shared" si="28"/>
        <v>270</v>
      </c>
      <c r="JL13" s="457">
        <f t="shared" si="28"/>
        <v>271</v>
      </c>
      <c r="JM13" s="169">
        <f t="shared" si="28"/>
        <v>272</v>
      </c>
      <c r="JN13" s="169">
        <f t="shared" si="28"/>
        <v>273</v>
      </c>
      <c r="JO13" s="169">
        <f t="shared" si="28"/>
        <v>274</v>
      </c>
      <c r="JP13" s="169">
        <f t="shared" si="28"/>
        <v>275</v>
      </c>
      <c r="JQ13" s="169">
        <f t="shared" si="28"/>
        <v>276</v>
      </c>
      <c r="JR13" s="457">
        <f t="shared" si="28"/>
        <v>277</v>
      </c>
      <c r="JS13" s="169">
        <f t="shared" si="28"/>
        <v>278</v>
      </c>
      <c r="JT13" s="169">
        <f t="shared" si="28"/>
        <v>279</v>
      </c>
      <c r="JU13" s="169">
        <f t="shared" si="28"/>
        <v>280</v>
      </c>
      <c r="JV13" s="169">
        <f t="shared" si="28"/>
        <v>281</v>
      </c>
      <c r="JW13" s="169">
        <f t="shared" si="28"/>
        <v>282</v>
      </c>
      <c r="JX13" s="169">
        <f t="shared" si="28"/>
        <v>283</v>
      </c>
      <c r="JY13" s="169">
        <f t="shared" si="28"/>
        <v>284</v>
      </c>
      <c r="JZ13" s="169">
        <f t="shared" si="28"/>
        <v>285</v>
      </c>
      <c r="KA13" s="169">
        <f t="shared" si="28"/>
        <v>286</v>
      </c>
      <c r="KB13" s="169">
        <f t="shared" si="28"/>
        <v>287</v>
      </c>
      <c r="KC13" s="169">
        <f t="shared" si="28"/>
        <v>288</v>
      </c>
      <c r="KD13" s="188">
        <f>KC13+1</f>
        <v>289</v>
      </c>
      <c r="KE13" s="348">
        <f>KD13+1</f>
        <v>290</v>
      </c>
      <c r="KF13" s="186">
        <f>KE13+1</f>
        <v>291</v>
      </c>
      <c r="KG13" s="186">
        <f>KF13+1</f>
        <v>292</v>
      </c>
      <c r="KH13" s="186">
        <f>KG13+1</f>
        <v>293</v>
      </c>
      <c r="KI13" s="186">
        <f t="shared" ref="KI13:KO13" si="29">KH13+1</f>
        <v>294</v>
      </c>
      <c r="KJ13" s="186">
        <f t="shared" si="29"/>
        <v>295</v>
      </c>
      <c r="KK13" s="186">
        <f>KJ13+1</f>
        <v>296</v>
      </c>
      <c r="KL13" s="186">
        <f t="shared" si="29"/>
        <v>297</v>
      </c>
      <c r="KM13" s="186">
        <f t="shared" si="29"/>
        <v>298</v>
      </c>
      <c r="KN13" s="186">
        <f>KM13+1</f>
        <v>299</v>
      </c>
      <c r="KO13" s="186">
        <f t="shared" si="29"/>
        <v>300</v>
      </c>
      <c r="KP13" s="186">
        <f>KO13+1</f>
        <v>301</v>
      </c>
      <c r="KQ13" s="186">
        <f>KP13+1</f>
        <v>302</v>
      </c>
      <c r="KR13" s="186">
        <f t="shared" ref="KR13:LD13" si="30">KQ13+1</f>
        <v>303</v>
      </c>
      <c r="KS13" s="186">
        <f t="shared" si="30"/>
        <v>304</v>
      </c>
      <c r="KT13" s="186">
        <f>KS13+1</f>
        <v>305</v>
      </c>
      <c r="KU13" s="186">
        <f t="shared" si="30"/>
        <v>306</v>
      </c>
      <c r="KV13" s="186">
        <f t="shared" si="30"/>
        <v>307</v>
      </c>
      <c r="KW13" s="186">
        <f t="shared" si="30"/>
        <v>308</v>
      </c>
      <c r="KX13" s="186">
        <f t="shared" si="30"/>
        <v>309</v>
      </c>
      <c r="KY13" s="186">
        <f>KX13+1</f>
        <v>310</v>
      </c>
      <c r="KZ13" s="186">
        <v>324</v>
      </c>
      <c r="LA13" s="186">
        <v>325</v>
      </c>
      <c r="LB13" s="186">
        <f>KX13+1</f>
        <v>310</v>
      </c>
      <c r="LC13" s="186">
        <f t="shared" si="30"/>
        <v>311</v>
      </c>
      <c r="LD13" s="186">
        <f t="shared" si="30"/>
        <v>312</v>
      </c>
      <c r="LE13" s="186">
        <f>LD13+1</f>
        <v>313</v>
      </c>
      <c r="LF13" s="186">
        <f t="shared" ref="LF13:LR13" si="31">LE13+1</f>
        <v>314</v>
      </c>
      <c r="LG13" s="186">
        <f t="shared" si="31"/>
        <v>315</v>
      </c>
      <c r="LH13" s="186">
        <f t="shared" si="31"/>
        <v>316</v>
      </c>
      <c r="LI13" s="460">
        <f t="shared" si="31"/>
        <v>317</v>
      </c>
      <c r="LJ13" s="186">
        <f t="shared" si="31"/>
        <v>318</v>
      </c>
      <c r="LK13" s="186">
        <f>LJ13+1</f>
        <v>319</v>
      </c>
      <c r="LL13" s="186">
        <f t="shared" si="31"/>
        <v>320</v>
      </c>
      <c r="LM13" s="186">
        <f t="shared" si="31"/>
        <v>321</v>
      </c>
      <c r="LN13" s="186">
        <f t="shared" si="31"/>
        <v>322</v>
      </c>
      <c r="LO13" s="186">
        <f t="shared" si="31"/>
        <v>323</v>
      </c>
      <c r="LP13" s="186">
        <f t="shared" si="31"/>
        <v>324</v>
      </c>
      <c r="LQ13" s="186">
        <f t="shared" si="31"/>
        <v>325</v>
      </c>
      <c r="LR13" s="186">
        <f t="shared" si="31"/>
        <v>326</v>
      </c>
      <c r="LS13" s="186">
        <f>LR13+1</f>
        <v>327</v>
      </c>
      <c r="LT13" s="186">
        <f t="shared" ref="LT13:LZ13" si="32">LS13+1</f>
        <v>328</v>
      </c>
      <c r="LU13" s="186">
        <f t="shared" si="32"/>
        <v>329</v>
      </c>
      <c r="LV13" s="186">
        <f t="shared" si="32"/>
        <v>330</v>
      </c>
      <c r="LW13" s="186">
        <f t="shared" si="32"/>
        <v>331</v>
      </c>
      <c r="LX13" s="186">
        <f t="shared" si="32"/>
        <v>332</v>
      </c>
      <c r="LY13" s="186">
        <f t="shared" si="32"/>
        <v>333</v>
      </c>
      <c r="LZ13" s="186">
        <f t="shared" si="32"/>
        <v>334</v>
      </c>
      <c r="MA13" s="186">
        <f>LZ13+1</f>
        <v>335</v>
      </c>
      <c r="MB13" s="186">
        <f>MA13+1</f>
        <v>336</v>
      </c>
      <c r="MC13" s="186">
        <f>MB13+1</f>
        <v>337</v>
      </c>
      <c r="MD13" s="186">
        <f t="shared" ref="MD13:MO13" si="33">MC13+1</f>
        <v>338</v>
      </c>
      <c r="ME13" s="186">
        <f t="shared" si="33"/>
        <v>339</v>
      </c>
      <c r="MF13" s="186">
        <f t="shared" si="33"/>
        <v>340</v>
      </c>
      <c r="MG13" s="186">
        <f t="shared" si="33"/>
        <v>341</v>
      </c>
      <c r="MH13" s="186">
        <f t="shared" si="33"/>
        <v>342</v>
      </c>
      <c r="MI13" s="186">
        <f t="shared" si="33"/>
        <v>343</v>
      </c>
      <c r="MJ13" s="186">
        <f t="shared" si="33"/>
        <v>344</v>
      </c>
      <c r="MK13" s="186">
        <f t="shared" si="33"/>
        <v>345</v>
      </c>
      <c r="ML13" s="186">
        <f t="shared" si="33"/>
        <v>346</v>
      </c>
      <c r="MM13" s="186">
        <f t="shared" si="33"/>
        <v>347</v>
      </c>
      <c r="MN13" s="460">
        <f t="shared" si="33"/>
        <v>348</v>
      </c>
      <c r="MO13" s="461">
        <f t="shared" si="33"/>
        <v>349</v>
      </c>
      <c r="MP13" s="461">
        <f t="shared" ref="MP13:NS13" si="34">MO13+1</f>
        <v>350</v>
      </c>
      <c r="MQ13" s="460">
        <f t="shared" si="34"/>
        <v>351</v>
      </c>
      <c r="MR13" s="460">
        <f t="shared" si="34"/>
        <v>352</v>
      </c>
      <c r="MS13" s="460">
        <f t="shared" si="34"/>
        <v>353</v>
      </c>
      <c r="MT13" s="460">
        <f t="shared" si="34"/>
        <v>354</v>
      </c>
      <c r="MU13" s="460">
        <f t="shared" si="34"/>
        <v>355</v>
      </c>
      <c r="MV13" s="460">
        <f t="shared" si="34"/>
        <v>356</v>
      </c>
      <c r="MW13" s="460">
        <f t="shared" si="34"/>
        <v>357</v>
      </c>
      <c r="MX13" s="460">
        <f t="shared" si="34"/>
        <v>358</v>
      </c>
      <c r="MY13" s="460">
        <f t="shared" si="34"/>
        <v>359</v>
      </c>
      <c r="MZ13" s="461">
        <f t="shared" si="34"/>
        <v>360</v>
      </c>
      <c r="NA13" s="460">
        <f t="shared" si="34"/>
        <v>361</v>
      </c>
      <c r="NB13" s="460">
        <f t="shared" si="34"/>
        <v>362</v>
      </c>
      <c r="NC13" s="460">
        <f t="shared" si="34"/>
        <v>363</v>
      </c>
      <c r="ND13" s="460">
        <f t="shared" si="34"/>
        <v>364</v>
      </c>
      <c r="NE13" s="460">
        <f t="shared" si="34"/>
        <v>365</v>
      </c>
      <c r="NF13" s="460">
        <f t="shared" si="34"/>
        <v>366</v>
      </c>
      <c r="NG13" s="460">
        <f t="shared" si="34"/>
        <v>367</v>
      </c>
      <c r="NH13" s="462">
        <f t="shared" si="34"/>
        <v>368</v>
      </c>
      <c r="NI13" s="460">
        <f t="shared" si="34"/>
        <v>369</v>
      </c>
      <c r="NJ13" s="480">
        <f t="shared" si="34"/>
        <v>370</v>
      </c>
      <c r="NK13" s="458">
        <f t="shared" si="34"/>
        <v>371</v>
      </c>
      <c r="NL13" s="169">
        <f t="shared" si="34"/>
        <v>372</v>
      </c>
      <c r="NM13" s="186">
        <f t="shared" si="34"/>
        <v>373</v>
      </c>
      <c r="NN13" s="186">
        <f t="shared" si="34"/>
        <v>374</v>
      </c>
      <c r="NO13" s="186">
        <f t="shared" si="34"/>
        <v>375</v>
      </c>
      <c r="NP13" s="186">
        <f t="shared" si="34"/>
        <v>376</v>
      </c>
      <c r="NQ13" s="186">
        <f t="shared" si="34"/>
        <v>377</v>
      </c>
      <c r="NR13" s="186">
        <f t="shared" si="34"/>
        <v>378</v>
      </c>
      <c r="NS13" s="186">
        <f t="shared" si="34"/>
        <v>379</v>
      </c>
      <c r="NT13" s="186">
        <f t="shared" ref="NT13:NZ13" si="35">NS13+1</f>
        <v>380</v>
      </c>
      <c r="NU13" s="186">
        <f t="shared" si="35"/>
        <v>381</v>
      </c>
      <c r="NV13" s="186">
        <f t="shared" si="35"/>
        <v>382</v>
      </c>
      <c r="NW13" s="186">
        <f t="shared" si="35"/>
        <v>383</v>
      </c>
      <c r="NX13" s="186">
        <f t="shared" si="35"/>
        <v>384</v>
      </c>
      <c r="NY13" s="186">
        <f t="shared" si="35"/>
        <v>385</v>
      </c>
      <c r="NZ13" s="186">
        <f t="shared" si="35"/>
        <v>386</v>
      </c>
      <c r="OA13" s="348">
        <f>NZ13+1</f>
        <v>387</v>
      </c>
      <c r="OB13" s="462">
        <f>OA13+1</f>
        <v>388</v>
      </c>
    </row>
    <row r="14" spans="1:392" s="481" customFormat="1" ht="10.5" customHeight="1" thickBot="1">
      <c r="A14" s="464" t="s">
        <v>1743</v>
      </c>
      <c r="B14" s="172" t="s">
        <v>1744</v>
      </c>
      <c r="C14" s="172" t="s">
        <v>1744</v>
      </c>
      <c r="D14" s="464" t="s">
        <v>1744</v>
      </c>
      <c r="E14" s="172" t="s">
        <v>1744</v>
      </c>
      <c r="F14" s="477" t="s">
        <v>1744</v>
      </c>
      <c r="G14" s="477" t="s">
        <v>1744</v>
      </c>
      <c r="H14" s="172" t="s">
        <v>1745</v>
      </c>
      <c r="I14" s="172" t="s">
        <v>1746</v>
      </c>
      <c r="J14" s="477" t="s">
        <v>1745</v>
      </c>
      <c r="K14" s="463" t="s">
        <v>1744</v>
      </c>
      <c r="L14" s="172" t="s">
        <v>1743</v>
      </c>
      <c r="M14" s="172" t="s">
        <v>1743</v>
      </c>
      <c r="N14" s="172" t="s">
        <v>1743</v>
      </c>
      <c r="O14" s="172" t="s">
        <v>1743</v>
      </c>
      <c r="P14" s="172" t="s">
        <v>1743</v>
      </c>
      <c r="Q14" s="172" t="s">
        <v>1743</v>
      </c>
      <c r="R14" s="172" t="s">
        <v>1743</v>
      </c>
      <c r="S14" s="172" t="s">
        <v>1743</v>
      </c>
      <c r="T14" s="463" t="s">
        <v>1744</v>
      </c>
      <c r="U14" s="172" t="s">
        <v>1743</v>
      </c>
      <c r="V14" s="172" t="s">
        <v>1743</v>
      </c>
      <c r="W14" s="172" t="s">
        <v>1743</v>
      </c>
      <c r="X14" s="172" t="s">
        <v>1743</v>
      </c>
      <c r="Y14" s="172" t="s">
        <v>1743</v>
      </c>
      <c r="Z14" s="172" t="s">
        <v>1743</v>
      </c>
      <c r="AA14" s="172" t="s">
        <v>1743</v>
      </c>
      <c r="AB14" s="172" t="s">
        <v>1743</v>
      </c>
      <c r="AC14" s="172" t="s">
        <v>1743</v>
      </c>
      <c r="AD14" s="172" t="s">
        <v>1743</v>
      </c>
      <c r="AE14" s="463" t="s">
        <v>1744</v>
      </c>
      <c r="AF14" s="463" t="s">
        <v>1744</v>
      </c>
      <c r="AG14" s="463" t="s">
        <v>1744</v>
      </c>
      <c r="AH14" s="463" t="s">
        <v>1744</v>
      </c>
      <c r="AI14" s="463" t="s">
        <v>1744</v>
      </c>
      <c r="AJ14" s="463" t="s">
        <v>1744</v>
      </c>
      <c r="AK14" s="463" t="s">
        <v>1744</v>
      </c>
      <c r="AL14" s="463" t="s">
        <v>1744</v>
      </c>
      <c r="AM14" s="463" t="s">
        <v>1744</v>
      </c>
      <c r="AN14" s="463" t="s">
        <v>1744</v>
      </c>
      <c r="AO14" s="463" t="s">
        <v>1744</v>
      </c>
      <c r="AP14" s="463" t="s">
        <v>1744</v>
      </c>
      <c r="AQ14" s="463" t="s">
        <v>1744</v>
      </c>
      <c r="AR14" s="463" t="s">
        <v>1744</v>
      </c>
      <c r="AS14" s="463" t="s">
        <v>1744</v>
      </c>
      <c r="AT14" s="463" t="s">
        <v>1744</v>
      </c>
      <c r="AU14" s="463" t="s">
        <v>1744</v>
      </c>
      <c r="AV14" s="463" t="s">
        <v>1744</v>
      </c>
      <c r="AW14" s="463" t="s">
        <v>1744</v>
      </c>
      <c r="AX14" s="463" t="s">
        <v>1744</v>
      </c>
      <c r="AY14" s="463" t="s">
        <v>1744</v>
      </c>
      <c r="AZ14" s="463" t="s">
        <v>1744</v>
      </c>
      <c r="BA14" s="463" t="s">
        <v>1744</v>
      </c>
      <c r="BB14" s="463" t="s">
        <v>1744</v>
      </c>
      <c r="BC14" s="463" t="s">
        <v>1744</v>
      </c>
      <c r="BD14" s="463" t="s">
        <v>1744</v>
      </c>
      <c r="BE14" s="463" t="s">
        <v>1744</v>
      </c>
      <c r="BF14" s="463" t="s">
        <v>1744</v>
      </c>
      <c r="BG14" s="463" t="s">
        <v>1744</v>
      </c>
      <c r="BH14" s="469" t="s">
        <v>1744</v>
      </c>
      <c r="BI14" s="463" t="s">
        <v>1744</v>
      </c>
      <c r="BJ14" s="463" t="s">
        <v>1744</v>
      </c>
      <c r="BK14" s="172" t="s">
        <v>1743</v>
      </c>
      <c r="BL14" s="172" t="s">
        <v>1743</v>
      </c>
      <c r="BM14" s="172" t="s">
        <v>1743</v>
      </c>
      <c r="BN14" s="172" t="s">
        <v>1743</v>
      </c>
      <c r="BO14" s="172" t="s">
        <v>1743</v>
      </c>
      <c r="BP14" s="172" t="s">
        <v>1743</v>
      </c>
      <c r="BQ14" s="463" t="s">
        <v>1744</v>
      </c>
      <c r="BR14" s="172" t="s">
        <v>1743</v>
      </c>
      <c r="BS14" s="172" t="s">
        <v>1743</v>
      </c>
      <c r="BT14" s="172" t="s">
        <v>1743</v>
      </c>
      <c r="BU14" s="172" t="s">
        <v>1743</v>
      </c>
      <c r="BV14" s="172" t="s">
        <v>1743</v>
      </c>
      <c r="BW14" s="172" t="s">
        <v>1743</v>
      </c>
      <c r="BX14" s="463" t="s">
        <v>1744</v>
      </c>
      <c r="BY14" s="172" t="s">
        <v>1743</v>
      </c>
      <c r="BZ14" s="172" t="s">
        <v>1743</v>
      </c>
      <c r="CA14" s="172" t="s">
        <v>1743</v>
      </c>
      <c r="CB14" s="172" t="s">
        <v>1743</v>
      </c>
      <c r="CC14" s="172" t="s">
        <v>1743</v>
      </c>
      <c r="CD14" s="172" t="s">
        <v>1743</v>
      </c>
      <c r="CE14" s="172" t="s">
        <v>1743</v>
      </c>
      <c r="CF14" s="463" t="s">
        <v>1744</v>
      </c>
      <c r="CG14" s="172" t="s">
        <v>1743</v>
      </c>
      <c r="CH14" s="172" t="s">
        <v>1743</v>
      </c>
      <c r="CI14" s="172" t="s">
        <v>1743</v>
      </c>
      <c r="CJ14" s="172" t="s">
        <v>1743</v>
      </c>
      <c r="CK14" s="172" t="s">
        <v>1743</v>
      </c>
      <c r="CL14" s="464" t="s">
        <v>1746</v>
      </c>
      <c r="CM14" s="463" t="s">
        <v>1744</v>
      </c>
      <c r="CN14" s="463" t="s">
        <v>1744</v>
      </c>
      <c r="CO14" s="172" t="s">
        <v>1743</v>
      </c>
      <c r="CP14" s="172" t="s">
        <v>1743</v>
      </c>
      <c r="CQ14" s="172" t="s">
        <v>1743</v>
      </c>
      <c r="CR14" s="172" t="s">
        <v>1743</v>
      </c>
      <c r="CS14" s="172" t="s">
        <v>1743</v>
      </c>
      <c r="CT14" s="172" t="s">
        <v>1743</v>
      </c>
      <c r="CU14" s="463" t="s">
        <v>1744</v>
      </c>
      <c r="CV14" s="172" t="s">
        <v>1743</v>
      </c>
      <c r="CW14" s="172" t="s">
        <v>1743</v>
      </c>
      <c r="CX14" s="172" t="s">
        <v>1743</v>
      </c>
      <c r="CY14" s="172" t="s">
        <v>1743</v>
      </c>
      <c r="CZ14" s="172" t="s">
        <v>1743</v>
      </c>
      <c r="DA14" s="172" t="s">
        <v>1743</v>
      </c>
      <c r="DB14" s="463" t="s">
        <v>1744</v>
      </c>
      <c r="DC14" s="172" t="s">
        <v>1743</v>
      </c>
      <c r="DD14" s="172" t="s">
        <v>1743</v>
      </c>
      <c r="DE14" s="172" t="s">
        <v>1743</v>
      </c>
      <c r="DF14" s="172" t="s">
        <v>1743</v>
      </c>
      <c r="DG14" s="172" t="s">
        <v>1743</v>
      </c>
      <c r="DH14" s="172" t="s">
        <v>1743</v>
      </c>
      <c r="DI14" s="172" t="s">
        <v>1743</v>
      </c>
      <c r="DJ14" s="463" t="s">
        <v>1744</v>
      </c>
      <c r="DK14" s="172" t="s">
        <v>1743</v>
      </c>
      <c r="DL14" s="172" t="s">
        <v>1743</v>
      </c>
      <c r="DM14" s="172" t="s">
        <v>1743</v>
      </c>
      <c r="DN14" s="172" t="s">
        <v>1743</v>
      </c>
      <c r="DO14" s="172" t="s">
        <v>1743</v>
      </c>
      <c r="DP14" s="172" t="s">
        <v>1743</v>
      </c>
      <c r="DQ14" s="477" t="s">
        <v>1743</v>
      </c>
      <c r="DR14" s="463" t="s">
        <v>1744</v>
      </c>
      <c r="DS14" s="478" t="s">
        <v>1743</v>
      </c>
      <c r="DT14" s="464" t="s">
        <v>1743</v>
      </c>
      <c r="DU14" s="464" t="s">
        <v>1743</v>
      </c>
      <c r="DV14" s="464" t="s">
        <v>1743</v>
      </c>
      <c r="DW14" s="464" t="s">
        <v>1745</v>
      </c>
      <c r="DX14" s="464" t="s">
        <v>1743</v>
      </c>
      <c r="DY14" s="464" t="s">
        <v>1743</v>
      </c>
      <c r="DZ14" s="464" t="s">
        <v>1743</v>
      </c>
      <c r="EA14" s="464" t="s">
        <v>1743</v>
      </c>
      <c r="EB14" s="464" t="s">
        <v>1743</v>
      </c>
      <c r="EC14" s="465" t="s">
        <v>1744</v>
      </c>
      <c r="ED14" s="162" t="s">
        <v>1743</v>
      </c>
      <c r="EE14" s="176" t="s">
        <v>1743</v>
      </c>
      <c r="EF14" s="176" t="s">
        <v>1743</v>
      </c>
      <c r="EG14" s="176" t="s">
        <v>1743</v>
      </c>
      <c r="EH14" s="176" t="s">
        <v>1743</v>
      </c>
      <c r="EI14" s="162" t="s">
        <v>1743</v>
      </c>
      <c r="EJ14" s="176" t="s">
        <v>1743</v>
      </c>
      <c r="EK14" s="463" t="s">
        <v>1744</v>
      </c>
      <c r="EL14" s="463" t="s">
        <v>1744</v>
      </c>
      <c r="EM14" s="176" t="s">
        <v>1743</v>
      </c>
      <c r="EN14" s="176" t="s">
        <v>1743</v>
      </c>
      <c r="EO14" s="176" t="s">
        <v>1743</v>
      </c>
      <c r="EP14" s="162" t="s">
        <v>1743</v>
      </c>
      <c r="EQ14" s="463" t="s">
        <v>1744</v>
      </c>
      <c r="ER14" s="463" t="s">
        <v>1744</v>
      </c>
      <c r="ES14" s="176" t="s">
        <v>1743</v>
      </c>
      <c r="ET14" s="176" t="s">
        <v>1743</v>
      </c>
      <c r="EU14" s="176" t="s">
        <v>1743</v>
      </c>
      <c r="EV14" s="162" t="s">
        <v>1743</v>
      </c>
      <c r="EW14" s="172" t="s">
        <v>1745</v>
      </c>
      <c r="EX14" s="172" t="s">
        <v>1746</v>
      </c>
      <c r="EY14" s="477" t="s">
        <v>1746</v>
      </c>
      <c r="EZ14" s="172" t="s">
        <v>1745</v>
      </c>
      <c r="FA14" s="172" t="s">
        <v>1746</v>
      </c>
      <c r="FB14" s="477" t="s">
        <v>1746</v>
      </c>
      <c r="FC14" s="172" t="s">
        <v>1745</v>
      </c>
      <c r="FD14" s="172" t="s">
        <v>1746</v>
      </c>
      <c r="FE14" s="477" t="s">
        <v>1746</v>
      </c>
      <c r="FF14" s="463" t="s">
        <v>1744</v>
      </c>
      <c r="FG14" s="463" t="s">
        <v>1744</v>
      </c>
      <c r="FH14" s="176" t="s">
        <v>1743</v>
      </c>
      <c r="FI14" s="176" t="s">
        <v>1743</v>
      </c>
      <c r="FJ14" s="176" t="s">
        <v>1743</v>
      </c>
      <c r="FK14" s="162" t="s">
        <v>1743</v>
      </c>
      <c r="FL14" s="162" t="s">
        <v>1746</v>
      </c>
      <c r="FM14" s="162" t="s">
        <v>1746</v>
      </c>
      <c r="FN14" s="162" t="s">
        <v>1746</v>
      </c>
      <c r="FO14" s="162" t="s">
        <v>1746</v>
      </c>
      <c r="FP14" s="162" t="s">
        <v>1746</v>
      </c>
      <c r="FQ14" s="162" t="s">
        <v>1746</v>
      </c>
      <c r="FR14" s="162" t="s">
        <v>1746</v>
      </c>
      <c r="FS14" s="162" t="s">
        <v>1746</v>
      </c>
      <c r="FT14" s="162" t="s">
        <v>1746</v>
      </c>
      <c r="FU14" s="162" t="s">
        <v>1745</v>
      </c>
      <c r="FV14" s="162" t="s">
        <v>1746</v>
      </c>
      <c r="FW14" s="162" t="s">
        <v>1746</v>
      </c>
      <c r="FX14" s="162" t="s">
        <v>1746</v>
      </c>
      <c r="FY14" s="162" t="s">
        <v>1746</v>
      </c>
      <c r="FZ14" s="162" t="s">
        <v>1746</v>
      </c>
      <c r="GA14" s="162" t="s">
        <v>1746</v>
      </c>
      <c r="GB14" s="162" t="s">
        <v>1746</v>
      </c>
      <c r="GC14" s="162" t="s">
        <v>1746</v>
      </c>
      <c r="GD14" s="162" t="s">
        <v>1746</v>
      </c>
      <c r="GE14" s="162" t="s">
        <v>1746</v>
      </c>
      <c r="GF14" s="162" t="s">
        <v>1746</v>
      </c>
      <c r="GG14" s="162" t="s">
        <v>1745</v>
      </c>
      <c r="GH14" s="463" t="s">
        <v>1744</v>
      </c>
      <c r="GI14" s="176" t="s">
        <v>1743</v>
      </c>
      <c r="GJ14" s="176" t="s">
        <v>1743</v>
      </c>
      <c r="GK14" s="162" t="s">
        <v>1743</v>
      </c>
      <c r="GL14" s="176" t="s">
        <v>1743</v>
      </c>
      <c r="GM14" s="176" t="s">
        <v>1743</v>
      </c>
      <c r="GN14" s="463" t="s">
        <v>1744</v>
      </c>
      <c r="GO14" s="162" t="s">
        <v>1743</v>
      </c>
      <c r="GP14" s="162" t="s">
        <v>1743</v>
      </c>
      <c r="GQ14" s="463" t="s">
        <v>1744</v>
      </c>
      <c r="GR14" s="190" t="s">
        <v>1746</v>
      </c>
      <c r="GS14" s="190" t="s">
        <v>1746</v>
      </c>
      <c r="GT14" s="190" t="s">
        <v>1746</v>
      </c>
      <c r="GU14" s="172" t="s">
        <v>1745</v>
      </c>
      <c r="GV14" s="172" t="s">
        <v>1746</v>
      </c>
      <c r="GW14" s="477" t="s">
        <v>1746</v>
      </c>
      <c r="GX14" s="466" t="s">
        <v>1744</v>
      </c>
      <c r="GY14" s="181" t="s">
        <v>1744</v>
      </c>
      <c r="GZ14" s="182" t="s">
        <v>1743</v>
      </c>
      <c r="HA14" s="165" t="s">
        <v>1743</v>
      </c>
      <c r="HB14" s="172" t="s">
        <v>1745</v>
      </c>
      <c r="HC14" s="172" t="s">
        <v>1746</v>
      </c>
      <c r="HD14" s="477" t="s">
        <v>1746</v>
      </c>
      <c r="HE14" s="466" t="s">
        <v>1744</v>
      </c>
      <c r="HF14" s="181" t="s">
        <v>1744</v>
      </c>
      <c r="HG14" s="182" t="s">
        <v>1743</v>
      </c>
      <c r="HH14" s="165" t="s">
        <v>1743</v>
      </c>
      <c r="HI14" s="172" t="s">
        <v>1745</v>
      </c>
      <c r="HJ14" s="172" t="s">
        <v>1746</v>
      </c>
      <c r="HK14" s="477" t="s">
        <v>1746</v>
      </c>
      <c r="HL14" s="172" t="s">
        <v>1746</v>
      </c>
      <c r="HM14" s="172" t="s">
        <v>1746</v>
      </c>
      <c r="HN14" s="478" t="s">
        <v>1744</v>
      </c>
      <c r="HO14" s="478" t="s">
        <v>1744</v>
      </c>
      <c r="HP14" s="463" t="s">
        <v>1744</v>
      </c>
      <c r="HQ14" s="463" t="s">
        <v>1744</v>
      </c>
      <c r="HR14" s="172" t="s">
        <v>1743</v>
      </c>
      <c r="HS14" s="464" t="s">
        <v>1743</v>
      </c>
      <c r="HT14" s="463" t="s">
        <v>1744</v>
      </c>
      <c r="HU14" s="464" t="s">
        <v>1743</v>
      </c>
      <c r="HV14" s="463" t="s">
        <v>1744</v>
      </c>
      <c r="HW14" s="478" t="s">
        <v>1743</v>
      </c>
      <c r="HX14" s="478" t="s">
        <v>1743</v>
      </c>
      <c r="HY14" s="478" t="s">
        <v>1743</v>
      </c>
      <c r="HZ14" s="478" t="s">
        <v>1743</v>
      </c>
      <c r="IA14" s="478" t="s">
        <v>1743</v>
      </c>
      <c r="IB14" s="478" t="s">
        <v>1743</v>
      </c>
      <c r="IC14" s="478" t="s">
        <v>1743</v>
      </c>
      <c r="ID14" s="478" t="s">
        <v>1743</v>
      </c>
      <c r="IE14" s="478" t="s">
        <v>1743</v>
      </c>
      <c r="IF14" s="478" t="s">
        <v>1743</v>
      </c>
      <c r="IG14" s="478" t="s">
        <v>1743</v>
      </c>
      <c r="IH14" s="478" t="s">
        <v>1743</v>
      </c>
      <c r="II14" s="464" t="s">
        <v>1743</v>
      </c>
      <c r="IJ14" s="464" t="s">
        <v>1743</v>
      </c>
      <c r="IK14" s="464" t="s">
        <v>1743</v>
      </c>
      <c r="IL14" s="463" t="s">
        <v>1744</v>
      </c>
      <c r="IM14" s="172" t="s">
        <v>1746</v>
      </c>
      <c r="IN14" s="172" t="s">
        <v>1746</v>
      </c>
      <c r="IO14" s="172" t="s">
        <v>1746</v>
      </c>
      <c r="IP14" s="172" t="s">
        <v>1746</v>
      </c>
      <c r="IQ14" s="172" t="s">
        <v>1746</v>
      </c>
      <c r="IR14" s="172" t="s">
        <v>1746</v>
      </c>
      <c r="IS14" s="172" t="s">
        <v>1746</v>
      </c>
      <c r="IT14" s="172" t="s">
        <v>1746</v>
      </c>
      <c r="IU14" s="172" t="s">
        <v>1746</v>
      </c>
      <c r="IV14" s="172" t="s">
        <v>1746</v>
      </c>
      <c r="IW14" s="463" t="s">
        <v>1744</v>
      </c>
      <c r="IX14" s="172" t="s">
        <v>1746</v>
      </c>
      <c r="IY14" s="172" t="s">
        <v>1746</v>
      </c>
      <c r="IZ14" s="172" t="s">
        <v>1746</v>
      </c>
      <c r="JA14" s="463" t="s">
        <v>1744</v>
      </c>
      <c r="JB14" s="172" t="s">
        <v>1746</v>
      </c>
      <c r="JC14" s="172" t="s">
        <v>1746</v>
      </c>
      <c r="JD14" s="172" t="s">
        <v>1746</v>
      </c>
      <c r="JE14" s="172" t="s">
        <v>1746</v>
      </c>
      <c r="JF14" s="172" t="s">
        <v>1746</v>
      </c>
      <c r="JG14" s="172" t="s">
        <v>1746</v>
      </c>
      <c r="JH14" s="172" t="s">
        <v>1746</v>
      </c>
      <c r="JI14" s="172" t="s">
        <v>1746</v>
      </c>
      <c r="JJ14" s="172" t="s">
        <v>1746</v>
      </c>
      <c r="JK14" s="172" t="s">
        <v>1746</v>
      </c>
      <c r="JL14" s="463" t="s">
        <v>1744</v>
      </c>
      <c r="JM14" s="172" t="s">
        <v>1746</v>
      </c>
      <c r="JN14" s="172" t="s">
        <v>1746</v>
      </c>
      <c r="JO14" s="172" t="s">
        <v>1746</v>
      </c>
      <c r="JP14" s="172" t="s">
        <v>1746</v>
      </c>
      <c r="JQ14" s="172" t="s">
        <v>1745</v>
      </c>
      <c r="JR14" s="463" t="s">
        <v>1744</v>
      </c>
      <c r="JS14" s="172" t="s">
        <v>1746</v>
      </c>
      <c r="JT14" s="172" t="s">
        <v>1746</v>
      </c>
      <c r="JU14" s="172" t="s">
        <v>1746</v>
      </c>
      <c r="JV14" s="172" t="s">
        <v>1746</v>
      </c>
      <c r="JW14" s="172" t="s">
        <v>1746</v>
      </c>
      <c r="JX14" s="172" t="s">
        <v>1746</v>
      </c>
      <c r="JY14" s="172" t="s">
        <v>1746</v>
      </c>
      <c r="JZ14" s="172" t="s">
        <v>1746</v>
      </c>
      <c r="KA14" s="172" t="s">
        <v>1746</v>
      </c>
      <c r="KB14" s="172" t="s">
        <v>1746</v>
      </c>
      <c r="KC14" s="172" t="s">
        <v>1745</v>
      </c>
      <c r="KD14" s="477" t="s">
        <v>1746</v>
      </c>
      <c r="KE14" s="172" t="s">
        <v>1746</v>
      </c>
      <c r="KF14" s="172" t="s">
        <v>1746</v>
      </c>
      <c r="KG14" s="172" t="s">
        <v>1746</v>
      </c>
      <c r="KH14" s="172" t="s">
        <v>1745</v>
      </c>
      <c r="KI14" s="172" t="s">
        <v>1743</v>
      </c>
      <c r="KJ14" s="172" t="s">
        <v>1743</v>
      </c>
      <c r="KK14" s="172" t="s">
        <v>1746</v>
      </c>
      <c r="KL14" s="172" t="s">
        <v>1746</v>
      </c>
      <c r="KM14" s="172" t="s">
        <v>1746</v>
      </c>
      <c r="KN14" s="172" t="s">
        <v>1746</v>
      </c>
      <c r="KO14" s="172" t="s">
        <v>1746</v>
      </c>
      <c r="KP14" s="172" t="s">
        <v>1746</v>
      </c>
      <c r="KQ14" s="172" t="s">
        <v>1746</v>
      </c>
      <c r="KR14" s="172" t="s">
        <v>1745</v>
      </c>
      <c r="KS14" s="172" t="s">
        <v>1746</v>
      </c>
      <c r="KT14" s="172" t="s">
        <v>1746</v>
      </c>
      <c r="KU14" s="172" t="s">
        <v>1746</v>
      </c>
      <c r="KV14" s="172" t="s">
        <v>1746</v>
      </c>
      <c r="KW14" s="172" t="s">
        <v>1746</v>
      </c>
      <c r="KX14" s="172" t="s">
        <v>1746</v>
      </c>
      <c r="KY14" s="172" t="s">
        <v>1746</v>
      </c>
      <c r="KZ14" s="172" t="s">
        <v>1746</v>
      </c>
      <c r="LA14" s="172" t="s">
        <v>1746</v>
      </c>
      <c r="LB14" s="172" t="s">
        <v>1746</v>
      </c>
      <c r="LC14" s="172" t="s">
        <v>1745</v>
      </c>
      <c r="LD14" s="172" t="s">
        <v>1746</v>
      </c>
      <c r="LE14" s="172" t="s">
        <v>1746</v>
      </c>
      <c r="LF14" s="172" t="s">
        <v>1746</v>
      </c>
      <c r="LG14" s="172" t="s">
        <v>1746</v>
      </c>
      <c r="LH14" s="172" t="s">
        <v>1746</v>
      </c>
      <c r="LI14" s="464" t="s">
        <v>1746</v>
      </c>
      <c r="LJ14" s="172" t="s">
        <v>1746</v>
      </c>
      <c r="LK14" s="172" t="s">
        <v>1746</v>
      </c>
      <c r="LL14" s="172" t="s">
        <v>1746</v>
      </c>
      <c r="LM14" s="172" t="s">
        <v>1746</v>
      </c>
      <c r="LN14" s="172" t="s">
        <v>1746</v>
      </c>
      <c r="LO14" s="172" t="s">
        <v>1746</v>
      </c>
      <c r="LP14" s="172" t="s">
        <v>1746</v>
      </c>
      <c r="LQ14" s="172" t="s">
        <v>1745</v>
      </c>
      <c r="LR14" s="172" t="s">
        <v>1743</v>
      </c>
      <c r="LS14" s="172" t="s">
        <v>1743</v>
      </c>
      <c r="LT14" s="172" t="s">
        <v>1746</v>
      </c>
      <c r="LU14" s="172" t="s">
        <v>1746</v>
      </c>
      <c r="LV14" s="172" t="s">
        <v>1746</v>
      </c>
      <c r="LW14" s="172" t="s">
        <v>1746</v>
      </c>
      <c r="LX14" s="172" t="s">
        <v>1746</v>
      </c>
      <c r="LY14" s="172" t="s">
        <v>1746</v>
      </c>
      <c r="LZ14" s="172" t="s">
        <v>1746</v>
      </c>
      <c r="MA14" s="172" t="s">
        <v>1745</v>
      </c>
      <c r="MB14" s="172" t="s">
        <v>1746</v>
      </c>
      <c r="MC14" s="172" t="s">
        <v>1746</v>
      </c>
      <c r="MD14" s="172" t="s">
        <v>1746</v>
      </c>
      <c r="ME14" s="172" t="s">
        <v>1746</v>
      </c>
      <c r="MF14" s="172" t="s">
        <v>1746</v>
      </c>
      <c r="MG14" s="172" t="s">
        <v>1746</v>
      </c>
      <c r="MH14" s="172" t="s">
        <v>1746</v>
      </c>
      <c r="MI14" s="172" t="s">
        <v>1746</v>
      </c>
      <c r="MJ14" s="172" t="s">
        <v>1746</v>
      </c>
      <c r="MK14" s="172" t="s">
        <v>1746</v>
      </c>
      <c r="ML14" s="172" t="s">
        <v>1746</v>
      </c>
      <c r="MM14" s="172" t="s">
        <v>1745</v>
      </c>
      <c r="MN14" s="464" t="s">
        <v>1746</v>
      </c>
      <c r="MO14" s="478" t="s">
        <v>1747</v>
      </c>
      <c r="MP14" s="478" t="s">
        <v>1747</v>
      </c>
      <c r="MQ14" s="464" t="s">
        <v>1743</v>
      </c>
      <c r="MR14" s="464" t="s">
        <v>1743</v>
      </c>
      <c r="MS14" s="464" t="s">
        <v>1743</v>
      </c>
      <c r="MT14" s="464" t="s">
        <v>1743</v>
      </c>
      <c r="MU14" s="464" t="s">
        <v>1743</v>
      </c>
      <c r="MV14" s="464" t="s">
        <v>1743</v>
      </c>
      <c r="MW14" s="464" t="s">
        <v>1743</v>
      </c>
      <c r="MX14" s="464" t="s">
        <v>1743</v>
      </c>
      <c r="MY14" s="464" t="s">
        <v>1743</v>
      </c>
      <c r="MZ14" s="478" t="s">
        <v>1747</v>
      </c>
      <c r="NA14" s="464" t="s">
        <v>1743</v>
      </c>
      <c r="NB14" s="464" t="s">
        <v>1743</v>
      </c>
      <c r="NC14" s="464" t="s">
        <v>1743</v>
      </c>
      <c r="ND14" s="464" t="s">
        <v>1743</v>
      </c>
      <c r="NE14" s="464" t="s">
        <v>1743</v>
      </c>
      <c r="NF14" s="464" t="s">
        <v>1743</v>
      </c>
      <c r="NG14" s="464" t="s">
        <v>1743</v>
      </c>
      <c r="NH14" s="464" t="s">
        <v>1743</v>
      </c>
      <c r="NI14" s="464" t="s">
        <v>1743</v>
      </c>
      <c r="NJ14" s="478" t="s">
        <v>1747</v>
      </c>
      <c r="NK14" s="478" t="s">
        <v>1743</v>
      </c>
      <c r="NL14" s="172" t="s">
        <v>1743</v>
      </c>
      <c r="NM14" s="172" t="s">
        <v>1746</v>
      </c>
      <c r="NN14" s="172" t="s">
        <v>1746</v>
      </c>
      <c r="NO14" s="172" t="s">
        <v>1746</v>
      </c>
      <c r="NP14" s="172" t="s">
        <v>1746</v>
      </c>
      <c r="NQ14" s="172" t="s">
        <v>1746</v>
      </c>
      <c r="NR14" s="172" t="s">
        <v>1745</v>
      </c>
      <c r="NS14" s="172" t="s">
        <v>1746</v>
      </c>
      <c r="NT14" s="172" t="s">
        <v>1746</v>
      </c>
      <c r="NU14" s="172" t="s">
        <v>1746</v>
      </c>
      <c r="NV14" s="172" t="s">
        <v>1746</v>
      </c>
      <c r="NW14" s="172" t="s">
        <v>1746</v>
      </c>
      <c r="NX14" s="172" t="s">
        <v>1746</v>
      </c>
      <c r="NY14" s="172" t="s">
        <v>1746</v>
      </c>
      <c r="NZ14" s="172" t="s">
        <v>1746</v>
      </c>
      <c r="OA14" s="172" t="s">
        <v>1745</v>
      </c>
      <c r="OB14" s="464" t="s">
        <v>1745</v>
      </c>
    </row>
    <row r="15" spans="1:392" s="471" customFormat="1" ht="24" customHeight="1">
      <c r="A15" s="482"/>
      <c r="B15" s="170" t="str">
        <f>はじめに!D3</f>
        <v>広島県</v>
      </c>
      <c r="C15" s="170" t="str">
        <f>はじめに!D4</f>
        <v>三原市</v>
      </c>
      <c r="D15" s="485"/>
      <c r="E15" s="170" t="str">
        <f>はじめに!D5</f>
        <v>〇〇集落協定</v>
      </c>
      <c r="F15" s="528"/>
      <c r="G15" s="528">
        <f>IFERROR(D15*10000+F15,"")</f>
        <v>0</v>
      </c>
      <c r="H15" s="170" t="str">
        <f>はじめに!D7</f>
        <v>広島県三原市〇〇町〇〇１２３４－５６</v>
      </c>
      <c r="I15" s="171">
        <f>別紙１①!E38</f>
        <v>7</v>
      </c>
      <c r="J15" s="528"/>
      <c r="K15" s="484">
        <f>M15+N15+O15+P15+Q15+R15+S15</f>
        <v>19</v>
      </c>
      <c r="L15" s="170">
        <f>別紙１④!A33</f>
        <v>4</v>
      </c>
      <c r="M15" s="170">
        <f>COUNTIF(別紙１③!H7:H31,"A")+COUNTIF(別紙１③!H7:H31,"B")</f>
        <v>10</v>
      </c>
      <c r="N15" s="170">
        <f>COUNTIF(別紙１③!H7:H31,"C")+COUNTIF(別紙１③!H7:H31,"D")+COUNTIF(別紙１③!H7:H31,"E")</f>
        <v>3</v>
      </c>
      <c r="O15" s="170">
        <f>COUNTIF(別紙１③!H7:H31,"F")+COUNTIF(別紙１③!H7:H31,"G")+COUNTIF(別紙１③!H7:H31,"H")+COUNTIF(別紙１③!H7:H31,"I")</f>
        <v>2</v>
      </c>
      <c r="P15" s="170">
        <f>COUNTIF(別紙１③!H7:H31,"J")</f>
        <v>1</v>
      </c>
      <c r="Q15" s="170">
        <f>COUNTIF(別紙１③!H7:H31,"K")</f>
        <v>0</v>
      </c>
      <c r="R15" s="170">
        <f>COUNTIF(別紙１③!H7:H31,"L")</f>
        <v>3</v>
      </c>
      <c r="S15" s="170">
        <f>COUNTIF(別紙１③!H7:H31,"M")</f>
        <v>0</v>
      </c>
      <c r="T15" s="483">
        <f>U15+V15+W15+X15+Y15+Z15+AA15+AB15+AC15+AD15</f>
        <v>13</v>
      </c>
      <c r="U15" s="170">
        <f>COUNTIF(別紙１③!I7:I31,"ア")</f>
        <v>1</v>
      </c>
      <c r="V15" s="170">
        <f>COUNTIF(別紙１③!I7:I31,"イ")</f>
        <v>2</v>
      </c>
      <c r="W15" s="170">
        <f>COUNTIF(別紙１③!I7:I31,"ウ")</f>
        <v>2</v>
      </c>
      <c r="X15" s="170">
        <f>COUNTIF(別紙１③!I7:I31,"エ")</f>
        <v>1</v>
      </c>
      <c r="Y15" s="170">
        <f>COUNTIF(別紙１③!I7:I31,"オ")</f>
        <v>2</v>
      </c>
      <c r="Z15" s="170">
        <f>COUNTIF(別紙１③!I7:I31,"カ")</f>
        <v>2</v>
      </c>
      <c r="AA15" s="170">
        <f>COUNTIF(別紙１③!I7:I31,"キ")</f>
        <v>2</v>
      </c>
      <c r="AB15" s="170">
        <f>COUNTIF(別紙１③!I7:I31,"ク")</f>
        <v>0</v>
      </c>
      <c r="AC15" s="170">
        <f>COUNTIF(別紙１③!I7:I31,"ケ")</f>
        <v>1</v>
      </c>
      <c r="AD15" s="170">
        <f>COUNTIF(別紙１③!I7:I31,"コ")</f>
        <v>0</v>
      </c>
      <c r="AE15" s="484" t="str">
        <f>IF(CM15*BI15&gt;0,"通特併存",IF(BI15&lt;&gt;0,"通常",IF(CM15&lt;&gt;0,"特認",IF(CM15*BI15=0,""))))</f>
        <v>通常</v>
      </c>
      <c r="AF15" s="490">
        <f>AG15+AN15+AU15+BC15</f>
        <v>41962</v>
      </c>
      <c r="AG15" s="490">
        <f>AH15+AI15+AJ15+AK15+AL15+AM15</f>
        <v>41962</v>
      </c>
      <c r="AH15" s="490">
        <f t="shared" ref="AH15:AM15" si="36">BK15+CO15</f>
        <v>24248</v>
      </c>
      <c r="AI15" s="490">
        <f t="shared" si="36"/>
        <v>17714</v>
      </c>
      <c r="AJ15" s="490">
        <f>BM15+CQ15</f>
        <v>0</v>
      </c>
      <c r="AK15" s="490">
        <f t="shared" si="36"/>
        <v>0</v>
      </c>
      <c r="AL15" s="490">
        <f t="shared" si="36"/>
        <v>0</v>
      </c>
      <c r="AM15" s="490">
        <f t="shared" si="36"/>
        <v>0</v>
      </c>
      <c r="AN15" s="490">
        <f>AO15+AP15+AQ15+AR15+AS15+AT15</f>
        <v>0</v>
      </c>
      <c r="AO15" s="490">
        <f t="shared" ref="AO15:AT15" si="37">BR15+CV15</f>
        <v>0</v>
      </c>
      <c r="AP15" s="490">
        <f t="shared" si="37"/>
        <v>0</v>
      </c>
      <c r="AQ15" s="490">
        <f t="shared" si="37"/>
        <v>0</v>
      </c>
      <c r="AR15" s="490">
        <f t="shared" si="37"/>
        <v>0</v>
      </c>
      <c r="AS15" s="490">
        <f t="shared" si="37"/>
        <v>0</v>
      </c>
      <c r="AT15" s="490">
        <f t="shared" si="37"/>
        <v>0</v>
      </c>
      <c r="AU15" s="490">
        <f>AV15+AW15+AX15+AY15+AZ15+BA15+BB15</f>
        <v>0</v>
      </c>
      <c r="AV15" s="490">
        <f t="shared" ref="AV15:BB15" si="38">BY15+DC15</f>
        <v>0</v>
      </c>
      <c r="AW15" s="490">
        <f t="shared" si="38"/>
        <v>0</v>
      </c>
      <c r="AX15" s="490">
        <f t="shared" si="38"/>
        <v>0</v>
      </c>
      <c r="AY15" s="490">
        <f t="shared" si="38"/>
        <v>0</v>
      </c>
      <c r="AZ15" s="490">
        <f t="shared" si="38"/>
        <v>0</v>
      </c>
      <c r="BA15" s="490">
        <f t="shared" si="38"/>
        <v>0</v>
      </c>
      <c r="BB15" s="490">
        <f t="shared" si="38"/>
        <v>0</v>
      </c>
      <c r="BC15" s="490">
        <f>BD15+BE15+BF15+BG15+BH15</f>
        <v>0</v>
      </c>
      <c r="BD15" s="490">
        <f>CG15+DK15</f>
        <v>0</v>
      </c>
      <c r="BE15" s="490">
        <f>CH15+DL15</f>
        <v>0</v>
      </c>
      <c r="BF15" s="490">
        <f>CI15+DM15</f>
        <v>0</v>
      </c>
      <c r="BG15" s="490">
        <f>CJ15+DN15</f>
        <v>0</v>
      </c>
      <c r="BH15" s="491">
        <f>CK15+DO15</f>
        <v>0</v>
      </c>
      <c r="BI15" s="490">
        <f>BJ15+BQ15+BX15+CF15</f>
        <v>41962</v>
      </c>
      <c r="BJ15" s="490">
        <f>BK15+BL15+BM15+BN15+BO15+BP15</f>
        <v>41962</v>
      </c>
      <c r="BK15" s="173">
        <f>SUMIFS(別紙２①!$F18:$F64,別紙２①!$A18:$A64,"通常地域（8法内）",別紙２①!$E18:$E64,"田",別紙２①!$H18:$H64,"急傾斜")+SUMIFS(別紙２①!$F18:$F64,別紙２①!$A18:$A64,"通常地域（8法以外で棚田法の交付対象農用地）",別紙２①!$E18:$E64,"田",別紙２①!$H18:$H64,"急傾斜")</f>
        <v>24248</v>
      </c>
      <c r="BL15" s="173">
        <f>SUMIFS(別紙２①!$F18:$F64,別紙２①!$A18:$A64,"通常地域（8法内）",別紙２①!$E18:$E64,"田",別紙２①!$H18:$H64,"緩傾斜")+SUMIFS(別紙２①!$F18:$F64,別紙２①!$A18:$A64,"通常地域（8法以外で棚田法の交付対象農用地）",別紙２①!$E18:$E64,"田",別紙２①!$H18:$H64,"緩傾斜")</f>
        <v>17714</v>
      </c>
      <c r="BM15" s="173">
        <f>SUMIFS(別紙２①!$F18:$F64,別紙２①!$A18:$A64,"通常地域（8法内）",別紙２①!$E18:$E64,"田",別紙２①!$H18:$H64,"高齢化・耕作放棄率")+SUMIFS(別紙２①!$F18:$F64,別紙２①!$A18:$A64,"通常地域（8法以外で棚田法の交付対象農用地）",別紙２①!$E18:$E64,"田",別紙２①!$H18:$H64,"高齢化・耕作放棄率")</f>
        <v>0</v>
      </c>
      <c r="BN15" s="173">
        <f>SUMIFS(別紙２①!$F18:$F64,別紙２①!$A18:$A64,"通常地域（8法内）",別紙２①!$E18:$E64,"田",別紙２①!$H18:$H64,"小区画・不整形")+SUMIFS(別紙２①!$F18:$F64,別紙２①!$A18:$A64,"通常地域（8法以外で棚田法の交付対象農用地）",別紙２①!$E18:$E64,"田",別紙２①!$H18:$H64,"小区画・不整形")</f>
        <v>0</v>
      </c>
      <c r="BO15" s="173">
        <f>SUMIFS(別紙２①!$F18:$F64,別紙２①!$A18:$A64,"通常地域（8法内）",別紙２①!$E18:$E64,"田",別紙２①!$H18:$H64,"特認基準")+SUMIFS(別紙２①!$F18:$F64,別紙２①!$A18:$A64,"通常地域（8法以外で棚田法の交付対象農用地）",別紙２①!$E18:$E64,"田",別紙２①!$H18:$H64,"特認基準")</f>
        <v>0</v>
      </c>
      <c r="BP15" s="173">
        <f>SUMIFS(別紙２①!$F18:$F64,別紙２①!$A18:$A64,"通常地域（8法内）",別紙２①!$E18:$E64,"田",別紙２①!$H18:$H64,"交付対象外")+SUMIFS(別紙２①!$F18:$F64,別紙２①!$A18:$A64,"通常地域（8法以外で棚田法の交付対象農用地）",別紙２①!$E18:$E64,"田",別紙２①!$H18:$H64,"交付対象外")</f>
        <v>0</v>
      </c>
      <c r="BQ15" s="490">
        <f>BR15+BS15+BT15+BU15+BV15+BW15</f>
        <v>0</v>
      </c>
      <c r="BR15" s="173">
        <f>SUMIFS(別紙２①!$F18:$F64,別紙２①!$A18:$A64,"通常地域（8法内）",別紙２①!$E18:$E64,"畑",別紙２①!$H18:$H64,"急傾斜")+SUMIFS(別紙２①!$F18:$F64,別紙２①!$A18:$A64,"通常地域（8法以外で棚田法の交付対象農用地）",別紙２①!$E18:$E64,"畑",別紙２①!$H18:$H64,"急傾斜")</f>
        <v>0</v>
      </c>
      <c r="BS15" s="173">
        <f>SUMIFS(別紙２①!$F18:$F64,別紙２①!$A18:$A64,"通常地域（8法内）",別紙２①!$E18:$E64,"畑",別紙２①!$H18:$H64,"緩傾斜")+SUMIFS(別紙２①!$F18:$F64,別紙２①!$A18:$A64,"通常地域（8法以外で棚田法の交付対象農用地）",別紙２①!$E18:$E64,"畑",別紙２①!$H18:$H64,"緩傾斜")</f>
        <v>0</v>
      </c>
      <c r="BT15" s="173">
        <f>SUMIFS(別紙２①!$F18:$F64,別紙２①!$A18:$A64,"通常地域（8法内）",別紙２①!$E18:$E64,"畑",別紙２①!$H18:$H64,"高齢化・耕作放棄率")+SUMIFS(別紙２①!$F18:$F64,別紙２①!$A18:$A64,"通常地域（8法以外で棚田法の交付対象農用地）",別紙２①!$E18:$E64,"畑",別紙２①!$H18:$H64,"高齢化・耕作放棄率")</f>
        <v>0</v>
      </c>
      <c r="BU15" s="173">
        <f>SUMIFS(別紙２①!$F18:$F64,別紙２①!$A18:$A64,"通常地域（8法内）",別紙２①!$E18:$E64,"畑",別紙２①!$H18:$H64,"特認基準")+SUMIFS(別紙２①!$F18:$F64,別紙２①!$A18:$A64,"通常地域（8法以外で棚田法の交付対象農用地）",別紙２①!$E18:$E64,"畑",別紙２①!$H18:$H64,"特認基準")</f>
        <v>0</v>
      </c>
      <c r="BV15" s="173">
        <f>SUMIFS(別紙２①!$F18:$F64,別紙２①!$A18:$A64,"通常地域（8法内）",別紙２①!$E18:$E64,"畑",別紙２①!$H18:$H64,"交付対象外（田畑混在地）")+SUMIFS(別紙２①!$F18:$F64,別紙２①!$A18:$A64,"通常地域（8法以外で棚田法の交付対象農用地）",別紙２①!$E18:$E64,"畑",別紙２①!$H18:$H64,"交付対象外（田畑混在地）")</f>
        <v>0</v>
      </c>
      <c r="BW15" s="173">
        <f>SUMIFS(別紙２①!$F18:$F64,別紙２①!$A18:$A64,"通常地域（8法内）",別紙２①!$E18:$E64,"畑",別紙２①!$H18:$H64,"交付対象外（田畑混在地以外）")+SUMIFS(別紙２①!$F18:$F64,別紙２①!$A18:$A64,"通常地域（8法以外で棚田法の交付対象農用地）",別紙２①!$E18:$E64,"畑",別紙２①!$H18:$H64,"交付対象外（田畑混在地以外）")</f>
        <v>0</v>
      </c>
      <c r="BX15" s="490">
        <f>BY15+BZ15+CA15+CB15+CC15+CD15+CE15</f>
        <v>0</v>
      </c>
      <c r="BY15" s="173">
        <f>SUMIFS(別紙２①!$F18:$F64,別紙２①!$A18:$A64,"通常地域（8法内）",別紙２①!$E18:$E64,"草地",別紙２①!$H18:$H64,"急傾斜")+SUMIFS(別紙２①!$F18:$F64,別紙２①!$A18:$A64,"通常地域（8法以外で棚田法の交付対象農用地）",別紙２①!$E18:$E64,"草地",別紙２①!$H18:$H64,"急傾斜")</f>
        <v>0</v>
      </c>
      <c r="BZ15" s="173">
        <f>SUMIFS(別紙２①!$F18:$F64,別紙２①!$A18:$A64,"通常地域（8法内）",別紙２①!$E18:$E64,"草地",別紙２①!$H18:$H64,"緩傾斜")+SUMIFS(別紙２①!$F18:$F64,別紙２①!$A18:$A64,"通常地域（8法以外で棚田法の交付対象農用地）",別紙２①!$E18:$E64,"草地",別紙２①!$H18:$H64,"緩傾斜")</f>
        <v>0</v>
      </c>
      <c r="CA15" s="173">
        <f>SUMIFS(別紙２①!$F18:$F64,別紙２①!$A18:$A64,"通常地域（8法内）",別紙２①!$E18:$E64,"草地",別紙２①!$H18:$H64,"草地比率の高い草地")+SUMIFS(別紙２①!$F18:$F64,別紙２①!$A18:$A64,"通常地域（8法以外で棚田法の交付対象農用地）",別紙２①!$E18:$E64,"草地",別紙２①!$H18:$H64,"草地比率の高い草地")</f>
        <v>0</v>
      </c>
      <c r="CB15" s="173">
        <f>SUMIFS(別紙２①!$F18:$F64,別紙２①!$A18:$A64,"通常地域（8法内）",別紙２①!$E18:$E64,"草地",別紙２①!$H18:$H64,"高齢化・耕作放棄率")+SUMIFS(別紙２①!$F18:$F64,別紙２①!$A18:$A64,"通常地域（8法以外で棚田法の交付対象農用地）",別紙２①!$E18:$E64,"草地",別紙２①!$H18:$H64,"高齢化・耕作放棄率")</f>
        <v>0</v>
      </c>
      <c r="CC15" s="173">
        <f>SUMIFS(別紙２①!$F18:$F64,別紙２①!$A18:$A64,"通常地域（8法内）",別紙２①!$E18:$E64,"草地",別紙２①!$H18:$H64,"特認基準")+SUMIFS(別紙２①!$F18:$F64,別紙２①!$A18:$A64,"通常地域（8法以外で棚田法の交付対象農用地）",別紙２①!$E18:$E64,"草地",別紙２①!$H18:$H64,"特認基準")</f>
        <v>0</v>
      </c>
      <c r="CD15" s="173">
        <f>SUMIFS(別紙２①!$F18:$F64,別紙２①!$A18:$A64,"通常地域（8法内）",別紙２①!$E18:$E64,"草地",別紙２①!$H18:$H64,"交付対象外（田草地混在地）")+SUMIFS(別紙２①!$F18:$F64,別紙２①!$A18:$A64,"通常地域（8法以外で棚田法の交付対象農用地）",別紙２①!$E18:$E64,"草地",別紙２①!$H18:$H64,"交付対象外（田草地混在地）")</f>
        <v>0</v>
      </c>
      <c r="CE15" s="173">
        <f>SUMIFS(別紙２①!$F18:$F64,別紙２①!$A18:$A64,"通常地域（8法内）",別紙２①!$E18:$E64,"草地",別紙２①!$H18:$H64,"交付対象外（田草地混在地以外）")+SUMIFS(別紙２①!$F18:$F64,別紙２①!$A18:$A64,"通常地域（8法以外で棚田法の交付対象農用地）",別紙２①!$E18:$E64,"草地",別紙２①!$H18:$H64,"交付対象外（田草地混在地以外）")</f>
        <v>0</v>
      </c>
      <c r="CF15" s="490">
        <f>CG15+CH15+CI15+CJ15+CK15</f>
        <v>0</v>
      </c>
      <c r="CG15" s="173">
        <f>SUMIFS(別紙２①!$F18:$F64,別紙２①!$A18:$A64,"通常地域（8法内）",別紙２①!$E18:$E64,"採草放牧地",別紙２①!$H18:$H64,"急傾斜")+SUMIFS(別紙２①!$F18:$F64,別紙２①!$A18:$A64,"通常地域（8法以外で棚田法の交付対象農用地）",別紙２①!$E18:$E64,"採草放牧地",別紙２①!$H18:$H64,"急傾斜")</f>
        <v>0</v>
      </c>
      <c r="CH15" s="173">
        <f>SUMIFS(別紙２①!$F18:$F64,別紙２①!$A18:$A64,"通常地域（8法内）",別紙２①!$E18:$E64,"採草放牧地",別紙２①!$H18:$H64,"緩傾斜")+SUMIFS(別紙２①!$F18:$F64,別紙２①!$A18:$A64,"通常地域（8法以外で棚田法の交付対象農用地）",別紙２①!$E18:$E64,"採草放牧地",別紙２①!$H18:$H64,"緩傾斜")</f>
        <v>0</v>
      </c>
      <c r="CI15" s="173">
        <f>SUMIFS(別紙２①!$F18:$F64,別紙２①!$A18:$A64,"通常地域（8法内）",別紙２①!$E18:$E64,"採草放牧地",別紙２①!$H18:$H64,"特認基準")+SUMIFS(別紙２①!$F18:$F64,別紙２①!$A18:$A64,"通常地域（8法以外で棚田法の交付対象農用地）",別紙２①!$E18:$E64,"採草放牧地",別紙２①!$H18:$H64,"特認基準")</f>
        <v>0</v>
      </c>
      <c r="CJ15" s="173">
        <f>SUMIFS(別紙２①!$F18:$F64,別紙２①!$A18:$A64,"通常地域（8法内）",別紙２①!$E18:$E64,"採草放牧地",別紙２①!$H18:$H64,"交付対象外（田採草放牧地混在地）")+SUMIFS(別紙２①!$F18:$F64,別紙２①!$A18:$A64,"通常地域（8法以外で棚田法の交付対象農用地）",別紙２①!$E18:$E64,"採草放牧地",別紙２①!$H18:$H64,"交付対象外（田採草放牧地混在地）")</f>
        <v>0</v>
      </c>
      <c r="CK15" s="173">
        <f>SUMIFS(別紙２①!$F18:$F64,別紙２①!$A18:$A64,"通常地域（8法内）",別紙２①!$E18:$E64,"採草放牧地",別紙２①!$H18:$H64,"交付対象外（田採草放牧地混在地以外）")+SUMIFS(別紙２①!$F18:$F64,別紙２①!$A18:$A64,"通常地域（8法以外で棚田法の交付対象農用地）",別紙２①!$E18:$E64,"採草放牧地",別紙２①!$H18:$H64,"交付対象外（田採草放牧地混在地以外）")</f>
        <v>0</v>
      </c>
      <c r="CL15" s="487"/>
      <c r="CM15" s="490">
        <f>CN15+CU15+DB15+DJ15</f>
        <v>0</v>
      </c>
      <c r="CN15" s="490">
        <f>CO15+CP15+CQ15+CR15+CS15+CT15</f>
        <v>0</v>
      </c>
      <c r="CO15" s="173">
        <f>SUMIFS(別紙２①!$F18:$F64,別紙２①!$A18:$A64,"特認地域",別紙２①!$E18:$E64,"田",別紙２①!$H18:$H64,"急傾斜")</f>
        <v>0</v>
      </c>
      <c r="CP15" s="173">
        <f>SUMIFS(別紙２①!$F18:$F64,別紙２①!$A18:$A64,"特認地域",別紙２①!$E18:$E64,"田",別紙２①!$H18:$H64,"緩傾斜")</f>
        <v>0</v>
      </c>
      <c r="CQ15" s="173">
        <f>SUMIFS(別紙２①!$F18:$F64,別紙２①!$A18:$A64,"特認地域",別紙２①!$E18:$E64,"田",別紙２①!$H18:$H64,"高齢化・耕作放棄率")</f>
        <v>0</v>
      </c>
      <c r="CR15" s="173">
        <f>SUMIFS(別紙２①!$F18:$F64,別紙２①!$A18:$A64,"特認地域",別紙２①!$E18:$E64,"田",別紙２①!$H18:$H64,"小区画・不整形")</f>
        <v>0</v>
      </c>
      <c r="CS15" s="173">
        <f>SUMIFS(別紙２①!$F18:$F64,別紙２①!$A18:$A64,"特認地域",別紙２①!$E18:$E64,"田",別紙２①!$H18:$H64,"特認基準")</f>
        <v>0</v>
      </c>
      <c r="CT15" s="173">
        <f>SUMIFS(別紙２①!$F18:$F64,別紙２①!$A18:$A64,"特認地域",別紙２①!$E18:$E64,"田",別紙２①!$H18:$H64,"交付対象外")</f>
        <v>0</v>
      </c>
      <c r="CU15" s="490">
        <f>CV15+CW15+CX15+CY15+CZ15+DA15</f>
        <v>0</v>
      </c>
      <c r="CV15" s="173">
        <f>SUMIFS(別紙２①!$F18:$F64,別紙２①!$A18:$A64,"特認地域",別紙２①!$E18:$E64,"畑",別紙２①!$H18:$H64,"急傾斜")</f>
        <v>0</v>
      </c>
      <c r="CW15" s="173">
        <f>SUMIFS(別紙２①!$F18:$F64,別紙２①!$A18:$A64,"特認地域",別紙２①!$E18:$E64,"畑",別紙２①!$H18:$H64,"緩傾斜")</f>
        <v>0</v>
      </c>
      <c r="CX15" s="173">
        <f>SUMIFS(別紙２①!$F18:$F64,別紙２①!$A18:$A64,"特認地域",別紙２①!$E18:$E64,"畑",別紙２①!$H18:$H64,"高齢化・耕作放棄率")</f>
        <v>0</v>
      </c>
      <c r="CY15" s="173">
        <f>SUMIFS(別紙２①!$F18:$F64,別紙２①!$A18:$A64,"特認地域",別紙２①!$E18:$E64,"畑",別紙２①!$H18:$H64,"特認基準")</f>
        <v>0</v>
      </c>
      <c r="CZ15" s="173">
        <f>SUMIFS(別紙２①!$F18:$F64,別紙２①!$A18:$A64,"特認地域",別紙２①!$E18:$E64,"畑",別紙２①!$H18:$H64,"交付対象外（田畑混在地）")</f>
        <v>0</v>
      </c>
      <c r="DA15" s="173">
        <f>SUMIFS(別紙２①!$F18:$F64,別紙２①!$A18:$A64,"特認地域",別紙２①!$E18:$E64,"畑",別紙２①!$H18:$H64,"交付対象外（田畑混在地以外）")</f>
        <v>0</v>
      </c>
      <c r="DB15" s="490">
        <f>DC15+DD15+DE15+DF15+DG15+DH15+DI15</f>
        <v>0</v>
      </c>
      <c r="DC15" s="173">
        <f>SUMIFS(別紙２①!$F18:$F64,別紙２①!$A18:$A64,"特認地域",別紙２①!$E18:$E64,"草地",別紙２①!$H18:$H64,"急傾斜")</f>
        <v>0</v>
      </c>
      <c r="DD15" s="173">
        <f>SUMIFS(別紙２①!$F18:$F64,別紙２①!$A18:$A64,"特認地域",別紙２①!$E18:$E64,"草地",別紙２①!$H18:$H64,"緩傾斜")</f>
        <v>0</v>
      </c>
      <c r="DE15" s="173">
        <f>SUMIFS(別紙２①!$F18:$F64,別紙２①!$A18:$A64,"特認地域",別紙２①!$E18:$E64,"草地",別紙２①!$H18:$H64,"草地比率の高い草地")</f>
        <v>0</v>
      </c>
      <c r="DF15" s="173">
        <f>SUMIFS(別紙２①!$F18:$F64,別紙２①!$A18:$A64,"特認地域",別紙２①!$E18:$E64,"草地",別紙２①!$H18:$H64,"高齢化・耕作放棄率")</f>
        <v>0</v>
      </c>
      <c r="DG15" s="173">
        <f>SUMIFS(別紙２①!$F18:$F64,別紙２①!$A18:$A64,"特認地域",別紙２①!$E18:$E64,"草地",別紙２①!$H18:$H64,"特認基準")</f>
        <v>0</v>
      </c>
      <c r="DH15" s="173">
        <f>SUMIFS(別紙２①!$F18:$F64,別紙２①!$A18:$A64,"特認地域",別紙２①!$E18:$E64,"草地",別紙２①!$H18:$H64,"交付対象外（田草地混在地）")</f>
        <v>0</v>
      </c>
      <c r="DI15" s="173">
        <f>SUMIFS(別紙２①!$F18:$F64,別紙２①!$A18:$A64,"特認地域",別紙２①!$E18:$E64,"草地",別紙２①!$H18:$H64,"交付対象外（田草地混在地以外）")</f>
        <v>0</v>
      </c>
      <c r="DJ15" s="490">
        <f>DK15+DL15+DM15+DN15+DO15</f>
        <v>0</v>
      </c>
      <c r="DK15" s="173">
        <f>SUMIFS(別紙２①!$F18:$F64,別紙２①!$A18:$A64,"特認地域",別紙２①!$E18:$E64,"採草放牧地",別紙２①!$H18:$H64,"急傾斜")</f>
        <v>0</v>
      </c>
      <c r="DL15" s="173">
        <f>SUMIFS(別紙２①!$F18:$F64,別紙２①!$A18:$A64,"特認地域",別紙２①!$E18:$E64,"採草放牧地",別紙２①!$H18:$H64,"緩傾斜")</f>
        <v>0</v>
      </c>
      <c r="DM15" s="173">
        <f>SUMIFS(別紙２①!$F18:$F64,別紙２①!$A18:$A64,"特認地域",別紙２①!$E18:$E64,"採草放牧地",別紙２①!$H18:$H64,"特認基準")</f>
        <v>0</v>
      </c>
      <c r="DN15" s="175">
        <f>SUMIFS(別紙２①!$F18:$F64,別紙２①!$A18:$A64,"特認地域",別紙２①!$E18:$E64,"採草放牧地",別紙２①!$H18:$H64,"交付対象外（田採草放牧地混在地）")</f>
        <v>0</v>
      </c>
      <c r="DO15" s="175">
        <f>SUMIFS(別紙２①!$F18:$F64,別紙２①!$A18:$A64,"特認地域",別紙２①!$E18:$E64,"採草放牧地",別紙２①!$H18:$H64,"交付対象外（田採草放牧地混在地以外）")</f>
        <v>0</v>
      </c>
      <c r="DP15" s="175">
        <f>別紙１④!I63+別紙１④!N63+別紙１④!S63+別紙１④!X63</f>
        <v>520735</v>
      </c>
      <c r="DQ15" s="531"/>
      <c r="DR15" s="508">
        <f>DS15+DX15+DY15+DZ15+EA15+EB15</f>
        <v>0</v>
      </c>
      <c r="DS15" s="520">
        <f>DT15+DU15+DV15</f>
        <v>0</v>
      </c>
      <c r="DT15" s="492"/>
      <c r="DU15" s="492"/>
      <c r="DV15" s="492"/>
      <c r="DW15" s="492"/>
      <c r="DX15" s="492"/>
      <c r="DY15" s="492"/>
      <c r="DZ15" s="492"/>
      <c r="EA15" s="492"/>
      <c r="EB15" s="492"/>
      <c r="EC15" s="494">
        <f>EE15+EF15+EG15</f>
        <v>0</v>
      </c>
      <c r="ED15" s="493"/>
      <c r="EE15" s="177">
        <f>SUMIFS(別紙２①!$F18:$F64,別紙２①!$Q18:$Q64,"荒廃農地",別紙２①!$R18:$R64,"復旧",別紙２①!$E18:$E64,"田")</f>
        <v>0</v>
      </c>
      <c r="EF15" s="177">
        <f>SUMIFS(別紙２①!$F18:$F64,別紙２①!$Q18:$Q64,"荒廃農地",別紙２①!$R18:$R64,"復旧",別紙２①!$E18:$E64,"畑")</f>
        <v>0</v>
      </c>
      <c r="EG15" s="177">
        <f>SUMIFS(別紙２①!$F18:$F64,別紙２①!$Q18:$Q64,"荒廃農地",別紙２①!$R18:$R64,"復旧",別紙２①!$E18:$E64,"草地")</f>
        <v>0</v>
      </c>
      <c r="EH15" s="177">
        <f>SUMIFS(別紙２①!$F18:$F64,別紙２①!$Q18:$Q64,"被災地",別紙２①!$R18:$R64,"復旧")</f>
        <v>0</v>
      </c>
      <c r="EI15" s="493"/>
      <c r="EJ15" s="177">
        <f>SUMIFS(別紙２①!$F18:$F64,別紙２①!$H18:$H64,"協定に含めない管理すべき農用地")</f>
        <v>0</v>
      </c>
      <c r="EK15" s="490">
        <f>IF(SUM(EM15:EN15)&gt;0,1,0)</f>
        <v>0</v>
      </c>
      <c r="EL15" s="490">
        <f>EM15+EN15</f>
        <v>0</v>
      </c>
      <c r="EM15" s="173">
        <f>別紙１④!B71</f>
        <v>0</v>
      </c>
      <c r="EN15" s="173">
        <f>別紙１④!E71</f>
        <v>0</v>
      </c>
      <c r="EO15" s="173">
        <f>別紙１④!P71</f>
        <v>0</v>
      </c>
      <c r="EP15" s="527"/>
      <c r="EQ15" s="490">
        <f>IF(SUM(ES15:ET15)&gt;0,1,0)</f>
        <v>0</v>
      </c>
      <c r="ER15" s="490">
        <f>ES15+ET15</f>
        <v>0</v>
      </c>
      <c r="ES15" s="173">
        <f>別紙１④!H72</f>
        <v>0</v>
      </c>
      <c r="ET15" s="173">
        <f>別紙１④!J72</f>
        <v>0</v>
      </c>
      <c r="EU15" s="173">
        <f>別紙１④!P72</f>
        <v>0</v>
      </c>
      <c r="EV15" s="527"/>
      <c r="EW15" s="178" t="str">
        <f>別紙１④!S256</f>
        <v xml:space="preserve">[ア　棚田等の保全]
</v>
      </c>
      <c r="EX15" s="179">
        <f>別紙１④!J258</f>
        <v>0</v>
      </c>
      <c r="EY15" s="521"/>
      <c r="EZ15" s="178" t="str">
        <f>別紙１④!S260</f>
        <v xml:space="preserve">[イ　棚田等の保全を通じた多面にわたる機能の維持・発揮]
</v>
      </c>
      <c r="FA15" s="179">
        <f>別紙１④!J258</f>
        <v>0</v>
      </c>
      <c r="FB15" s="521"/>
      <c r="FC15" s="178" t="str">
        <f>別紙１④!S261</f>
        <v xml:space="preserve">[ウ　棚田を核とした棚田地域の振興]
</v>
      </c>
      <c r="FD15" s="179">
        <f>別紙１④!J258</f>
        <v>0</v>
      </c>
      <c r="FE15" s="521"/>
      <c r="FF15" s="488">
        <f>IF(SUM(FH15:FI15)&gt;0,1,0)</f>
        <v>1</v>
      </c>
      <c r="FG15" s="488">
        <f>FH15+FI15</f>
        <v>6260</v>
      </c>
      <c r="FH15" s="173">
        <f>別紙１④!B80</f>
        <v>6260</v>
      </c>
      <c r="FI15" s="173">
        <f>別紙１④!E80</f>
        <v>0</v>
      </c>
      <c r="FJ15" s="173">
        <f>別紙１④!S80</f>
        <v>37560</v>
      </c>
      <c r="FK15" s="527"/>
      <c r="FL15" s="166"/>
      <c r="FM15" s="166"/>
      <c r="FN15" s="166"/>
      <c r="FO15" s="166"/>
      <c r="FP15" s="166"/>
      <c r="FQ15" s="166"/>
      <c r="FR15" s="166"/>
      <c r="FS15" s="166"/>
      <c r="FT15" s="166"/>
      <c r="FU15" s="71"/>
      <c r="FV15" s="166"/>
      <c r="FW15" s="166"/>
      <c r="FX15" s="166"/>
      <c r="FY15" s="166"/>
      <c r="FZ15" s="166"/>
      <c r="GA15" s="166"/>
      <c r="GB15" s="166"/>
      <c r="GC15" s="166"/>
      <c r="GD15" s="166"/>
      <c r="GE15" s="166"/>
      <c r="GF15" s="166"/>
      <c r="GG15" s="71"/>
      <c r="GH15" s="488">
        <f>IF(GI15&gt;0,1,0)</f>
        <v>0</v>
      </c>
      <c r="GI15" s="173">
        <f>別紙１④!B88+別紙１④!D88+別紙１④!F88+別紙１④!I88+別紙１④!B89+別紙１④!D89+別紙１④!F89+別紙１④!I89</f>
        <v>0</v>
      </c>
      <c r="GJ15" s="173">
        <f>別紙１④!S88</f>
        <v>0</v>
      </c>
      <c r="GK15" s="527"/>
      <c r="GL15" s="177">
        <f>COUNTIFS(別紙１④!$B$97:$F$101,"&lt;&gt;")</f>
        <v>2</v>
      </c>
      <c r="GM15" s="177">
        <f>COUNTIFS(別紙１④!$H$97:$J$101,"&lt;&gt;")</f>
        <v>0</v>
      </c>
      <c r="GN15" s="504">
        <f>GO15+GP15</f>
        <v>0</v>
      </c>
      <c r="GO15" s="71"/>
      <c r="GP15" s="71"/>
      <c r="GQ15" s="504">
        <f>SUM(GR15:GT15)</f>
        <v>0</v>
      </c>
      <c r="GR15" s="167"/>
      <c r="GS15" s="167"/>
      <c r="GT15" s="167"/>
      <c r="GU15" s="180"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79">
        <f>別紙１④!J268</f>
        <v>11</v>
      </c>
      <c r="GW15" s="521"/>
      <c r="GX15" s="495">
        <f>IF(GY15&gt;0,1,0)</f>
        <v>0</v>
      </c>
      <c r="GY15" s="177">
        <f>別紙１④!B110+別紙１④!D110+別紙１④!F110+別紙１④!I110</f>
        <v>0</v>
      </c>
      <c r="GZ15" s="177">
        <f>別紙１④!P110</f>
        <v>0</v>
      </c>
      <c r="HA15" s="527"/>
      <c r="HB15" s="180"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79">
        <f>別紙１④!J272</f>
        <v>11</v>
      </c>
      <c r="HD15" s="521"/>
      <c r="HE15" s="495">
        <f>IF(HF15&gt;0,1,0)</f>
        <v>1</v>
      </c>
      <c r="HF15" s="177">
        <f>別紙１④!I110+別紙１④!K110+別紙１④!M110+別紙１④!P110</f>
        <v>5000</v>
      </c>
      <c r="HG15" s="177">
        <f>別紙１④!W110</f>
        <v>0</v>
      </c>
      <c r="HH15" s="527"/>
      <c r="HI15" s="180">
        <f>別紙１④!Z270</f>
        <v>0</v>
      </c>
      <c r="HJ15" s="179">
        <f>別紙１④!Q272</f>
        <v>0</v>
      </c>
      <c r="HK15" s="521"/>
      <c r="HL15" s="183" t="str">
        <f>IF(別紙２①!H6="〇",1,"")</f>
        <v/>
      </c>
      <c r="HM15" s="183" t="str">
        <f>IF(別紙２①!H8="〇",1,"")</f>
        <v/>
      </c>
      <c r="HN15" s="488">
        <f>DP15+EO15+EU15+FJ15+GJ15+GZ15+HG15</f>
        <v>558295</v>
      </c>
      <c r="HO15" s="488">
        <f>DQ15+EP15+EV15+FK15+GK15+HA15+HH15</f>
        <v>0</v>
      </c>
      <c r="HP15" s="488">
        <f>HN15-HR15</f>
        <v>258295</v>
      </c>
      <c r="HQ15" s="489">
        <f>HP15/HN15</f>
        <v>0.46264967445526112</v>
      </c>
      <c r="HR15" s="173">
        <f>別紙１④!M241</f>
        <v>300000</v>
      </c>
      <c r="HS15" s="486"/>
      <c r="HT15" s="488">
        <f>HN15+HS15</f>
        <v>558295</v>
      </c>
      <c r="HU15" s="486"/>
      <c r="HV15" s="488">
        <f>HW15+HX15+HY15+HZ15+IA15+IB15+IC15+ID15+IE15+IF15+IG15+IH15+II15+IJ15</f>
        <v>96000</v>
      </c>
      <c r="HW15" s="488">
        <f>別紙１④!R205</f>
        <v>30000</v>
      </c>
      <c r="HX15" s="488">
        <f>別紙１④!R206</f>
        <v>1000</v>
      </c>
      <c r="HY15" s="508">
        <f>別紙１④!R211</f>
        <v>10000</v>
      </c>
      <c r="HZ15" s="508">
        <f>別紙１④!R213</f>
        <v>10000</v>
      </c>
      <c r="IA15" s="488">
        <f>別紙１④!R215</f>
        <v>5000</v>
      </c>
      <c r="IB15" s="488">
        <f>別紙１④!R216</f>
        <v>5000</v>
      </c>
      <c r="IC15" s="488">
        <f>別紙１④!R217</f>
        <v>3000</v>
      </c>
      <c r="ID15" s="488">
        <f>別紙１④!R218</f>
        <v>10000</v>
      </c>
      <c r="IE15" s="488">
        <f>別紙１④!R210</f>
        <v>2000</v>
      </c>
      <c r="IF15" s="488">
        <f>別紙１④!R209</f>
        <v>10000</v>
      </c>
      <c r="IG15" s="488">
        <f>別紙１④!R207</f>
        <v>5000</v>
      </c>
      <c r="IH15" s="488">
        <f>別紙１④!R208</f>
        <v>5000</v>
      </c>
      <c r="II15" s="486"/>
      <c r="IJ15" s="486"/>
      <c r="IK15" s="486"/>
      <c r="IL15" s="484">
        <f>SUM(IN15:IV15)</f>
        <v>1</v>
      </c>
      <c r="IM15" s="184">
        <f>IF(別紙１④!A155="✓",1,"")</f>
        <v>1</v>
      </c>
      <c r="IN15" s="184">
        <f>IF(別紙１④!A157="〇",1,"")</f>
        <v>1</v>
      </c>
      <c r="IO15" s="184" t="str">
        <f>IF(別紙１④!A158="〇",1,"")</f>
        <v/>
      </c>
      <c r="IP15" s="184" t="str">
        <f>IF(別紙１④!A159="〇",1,"")</f>
        <v/>
      </c>
      <c r="IQ15" s="184" t="str">
        <f>IF(別紙１④!A160="〇",1,"")</f>
        <v/>
      </c>
      <c r="IR15" s="184" t="str">
        <f>IF(別紙１④!A161="〇",1,"")</f>
        <v/>
      </c>
      <c r="IS15" s="184" t="str">
        <f>IF(別紙１④!A162="〇",1,"")</f>
        <v/>
      </c>
      <c r="IT15" s="184" t="str">
        <f>IF(別紙１④!A163="〇",1,"")</f>
        <v/>
      </c>
      <c r="IU15" s="184" t="str">
        <f>IF(別紙１④!A164="〇",1,"")</f>
        <v/>
      </c>
      <c r="IV15" s="184" t="str">
        <f>IF(別紙１④!A165="〇",1,"")</f>
        <v/>
      </c>
      <c r="IW15" s="484">
        <f>SUM(IX15:IZ15)</f>
        <v>3</v>
      </c>
      <c r="IX15" s="170">
        <f>IF(OR(別紙１④!H169="〇",別紙１④!N169="〇",別紙１④!S169="〇"),1,"")</f>
        <v>1</v>
      </c>
      <c r="IY15" s="170">
        <f>IF(OR(別紙１④!H170="〇",別紙１④!N170="〇",別紙１④!S170="〇"),1,"")</f>
        <v>1</v>
      </c>
      <c r="IZ15" s="170">
        <f>IF(別紙１④!D171&lt;&gt;"",1,"")</f>
        <v>1</v>
      </c>
      <c r="JA15" s="484">
        <f>SUM(JB15:JK15)</f>
        <v>4</v>
      </c>
      <c r="JB15" s="170">
        <f>IF(別紙１④!A177="〇",1,"")</f>
        <v>1</v>
      </c>
      <c r="JC15" s="170" t="str">
        <f>IF(別紙１④!A178="〇",1,"")</f>
        <v/>
      </c>
      <c r="JD15" s="170" t="str">
        <f>IF(別紙１④!A179="〇",1,"")</f>
        <v/>
      </c>
      <c r="JE15" s="170">
        <f>IF(別紙１④!A180="〇",1,"")</f>
        <v>1</v>
      </c>
      <c r="JF15" s="170" t="str">
        <f>IF(別紙１④!A181="〇",1,"")</f>
        <v/>
      </c>
      <c r="JG15" s="170" t="str">
        <f>IF(別紙１④!A182="〇",1,"")</f>
        <v/>
      </c>
      <c r="JH15" s="170">
        <f>IF(別紙１④!A183="〇",1,"")</f>
        <v>1</v>
      </c>
      <c r="JI15" s="170" t="str">
        <f>IF(別紙１④!A184="〇",1,"")</f>
        <v/>
      </c>
      <c r="JJ15" s="170">
        <f>IF(別紙１④!A185="〇",1,"")</f>
        <v>1</v>
      </c>
      <c r="JK15" s="170" t="str">
        <f>IF(別紙１④!A186="〇",1,"")</f>
        <v/>
      </c>
      <c r="JL15" s="484">
        <f>SUM(JM15:JP15)</f>
        <v>2</v>
      </c>
      <c r="JM15" s="170">
        <f>IF(別紙１④!B130="〇",1,"")</f>
        <v>1</v>
      </c>
      <c r="JN15" s="170">
        <f>IF(別紙１④!B131="〇",1,"")</f>
        <v>1</v>
      </c>
      <c r="JO15" s="170" t="str">
        <f>IF(別紙１④!B132="〇",1,"")</f>
        <v/>
      </c>
      <c r="JP15" s="170" t="str">
        <f>IF(別紙１④!B133="〇",1,"")</f>
        <v/>
      </c>
      <c r="JQ15" s="170" t="str">
        <f>別紙１④!D134&amp;""</f>
        <v xml:space="preserve">例)農業生産活動の継続に向けた集落機能強化
</v>
      </c>
      <c r="JR15" s="483">
        <f>SUM(JS15:KB15)</f>
        <v>2</v>
      </c>
      <c r="JS15" s="170">
        <f>IF(別紙１④!B139="〇",1,"")</f>
        <v>1</v>
      </c>
      <c r="JT15" s="170" t="str">
        <f>IF(別紙１④!B140="〇",1,"")</f>
        <v/>
      </c>
      <c r="JU15" s="170" t="str">
        <f>IF(別紙１④!B141="〇",1,"")</f>
        <v/>
      </c>
      <c r="JV15" s="170" t="str">
        <f>IF(別紙１④!B142="〇",1,"")</f>
        <v/>
      </c>
      <c r="JW15" s="170" t="str">
        <f>IF(別紙１④!B143="〇",1,"")</f>
        <v/>
      </c>
      <c r="JX15" s="170" t="str">
        <f>IF(別紙１④!B144="〇",1,"")</f>
        <v/>
      </c>
      <c r="JY15" s="170" t="str">
        <f>IF(別紙１④!B145="〇",1,"")</f>
        <v/>
      </c>
      <c r="JZ15" s="170">
        <f>IF(別紙１④!B146="〇",1,"")</f>
        <v>1</v>
      </c>
      <c r="KA15" s="170" t="str">
        <f>IF(別紙１④!B147="〇",1,"")</f>
        <v/>
      </c>
      <c r="KB15" s="170" t="str">
        <f>IF(別紙１④!B148="〇",1,"")</f>
        <v/>
      </c>
      <c r="KC15" s="170" t="str">
        <f>別紙１④!N149&amp;""</f>
        <v/>
      </c>
      <c r="KD15" s="528"/>
      <c r="KE15" s="173">
        <f>IF('別紙２②（ネットワーク化活動計画）'!B17="○",1,"")</f>
        <v>1</v>
      </c>
      <c r="KF15" s="170">
        <f>IF('別紙２②（ネットワーク化活動計画）'!B19="○",1,"")</f>
        <v>1</v>
      </c>
      <c r="KG15" s="170">
        <f>IF('別紙２②（ネットワーク化活動計画）'!B21="○",1,"")</f>
        <v>1</v>
      </c>
      <c r="KH15" s="362" t="str">
        <f>'別紙２③（ネットワーク化）'!$B$6&amp;""</f>
        <v>農林地域集落協定ネットワーク協議会</v>
      </c>
      <c r="KI15" s="173">
        <f>COUNTIFS('別紙２③（ネットワーク化）'!$B$11:$B$14,"&lt;&gt;")</f>
        <v>3</v>
      </c>
      <c r="KJ15" s="425">
        <f>'別紙２③（ネットワーク化）'!$F$15</f>
        <v>21.0962</v>
      </c>
      <c r="KK15" s="173">
        <f>IF('別紙２③（ネットワーク化）'!$B$23="○",1,"")</f>
        <v>1</v>
      </c>
      <c r="KL15" s="173">
        <f>IF('別紙２③（ネットワーク化）'!$B$21="○",1,"")</f>
        <v>1</v>
      </c>
      <c r="KM15" s="173" t="str">
        <f>IF('別紙２③（ネットワーク化）'!$B$22="○",1,"")</f>
        <v/>
      </c>
      <c r="KN15" s="173">
        <f>IF('別紙２③（ネットワーク化）'!$B$23="○",1,"")</f>
        <v>1</v>
      </c>
      <c r="KO15" s="173" t="str">
        <f>IF('別紙２③（ネットワーク化）'!$H$20="○",1,"")</f>
        <v/>
      </c>
      <c r="KP15" s="173">
        <f>IF('別紙２③（ネットワーク化）'!$H$21="○",1,"")</f>
        <v>1</v>
      </c>
      <c r="KQ15" s="173" t="str">
        <f>IF('別紙２③（ネットワーク化）'!$H$22="○",1,"")</f>
        <v/>
      </c>
      <c r="KR15" s="173" t="str">
        <f>'別紙２③（ネットワーク化）'!J23&amp;""</f>
        <v/>
      </c>
      <c r="KS15" s="173">
        <f>IF('別紙２③（ネットワーク化）'!$B$29="○",1,"")</f>
        <v>1</v>
      </c>
      <c r="KT15" s="173" t="str">
        <f>IF('別紙２③（ネットワーク化）'!$B$31="○",1,"")</f>
        <v/>
      </c>
      <c r="KU15" s="173" t="str">
        <f>IF('別紙２③（ネットワーク化）'!$B$32="○",1,"")</f>
        <v/>
      </c>
      <c r="KV15" s="173" t="str">
        <f>IF('別紙２③（ネットワーク化）'!$B$33="○",1,"")</f>
        <v/>
      </c>
      <c r="KW15" s="173">
        <f>IF('別紙２③（ネットワーク化）'!$B$34="○",1,"")</f>
        <v>1</v>
      </c>
      <c r="KX15" s="173">
        <f>IF('別紙２③（ネットワーク化）'!$H$29="○",1,"")</f>
        <v>1</v>
      </c>
      <c r="KY15" s="173">
        <f>IF('別紙２③（ネットワーク化）'!$H$30="○",1,"")</f>
        <v>1</v>
      </c>
      <c r="KZ15" s="173">
        <f>IF('別紙２③（ネットワーク化）'!$H$31="○",1,"")</f>
        <v>1</v>
      </c>
      <c r="LA15" s="173" t="str">
        <f>IF('別紙２③（ネットワーク化）'!$H$32="○",1,"")</f>
        <v/>
      </c>
      <c r="LB15" s="173" t="str">
        <f>IF('別紙２③（ネットワーク化）'!$H$33="○",1,"")</f>
        <v/>
      </c>
      <c r="LC15" s="179" t="str">
        <f>'別紙２③（ネットワーク化）'!J34&amp;""</f>
        <v/>
      </c>
      <c r="LD15" s="362">
        <f>IF('別紙２③（ネットワーク化）'!$B$38="○",1,"")</f>
        <v>1</v>
      </c>
      <c r="LE15" s="362">
        <f>IF('別紙２③（ネットワーク化）'!$B$39="○",1,"")</f>
        <v>1</v>
      </c>
      <c r="LF15" s="362" t="str">
        <f>IF('別紙２③（ネットワーク化）'!$G$38="○",1,"")</f>
        <v/>
      </c>
      <c r="LG15" s="362" t="str">
        <f>IF('別紙２③（ネットワーク化）'!$G$39="○",1,"")</f>
        <v/>
      </c>
      <c r="LH15" s="173" t="str">
        <f>'別紙２③（ネットワーク化）'!J39&amp;""</f>
        <v/>
      </c>
      <c r="LI15" s="486"/>
      <c r="LJ15" s="173" t="str">
        <f>IF('別紙２③（ネットワーク化）'!$B$65="○",1,"")</f>
        <v/>
      </c>
      <c r="LK15" s="173">
        <f>IF('別紙２③（ネットワーク化）'!$B$66="○",1,"")</f>
        <v>1</v>
      </c>
      <c r="LL15" s="173" t="str">
        <f>IF('別紙２③（ネットワーク化）'!$B$67="○",1,"")</f>
        <v/>
      </c>
      <c r="LM15" s="173" t="str">
        <f>IF('別紙２③（ネットワーク化）'!$B$68="○",1,"")</f>
        <v/>
      </c>
      <c r="LN15" s="173" t="str">
        <f>IF('別紙２③（ネットワーク化）'!$B$69="○",1,"")</f>
        <v/>
      </c>
      <c r="LO15" s="173" t="str">
        <f>IF('別紙２③（ネットワーク化）'!$B$70="○",1,"")</f>
        <v/>
      </c>
      <c r="LP15" s="173" t="str">
        <f>'別紙２③（ネットワーク化）'!F70&amp;""</f>
        <v/>
      </c>
      <c r="LQ15" s="173" t="str">
        <f>'別紙２④（統合）'!$B$6&amp;""</f>
        <v>農林地域広域集落協定</v>
      </c>
      <c r="LR15" s="362">
        <f>COUNTIFS('別紙２④（統合）'!$B$11:$B$14,"&lt;&gt;")</f>
        <v>3</v>
      </c>
      <c r="LS15" s="425">
        <f>'別紙２④（統合）'!$F$15</f>
        <v>18.3962</v>
      </c>
      <c r="LT15" s="173" t="str">
        <f>IF('別紙２④（統合）'!$B$20="○",1,"")</f>
        <v/>
      </c>
      <c r="LU15" s="173">
        <f>IF('別紙２④（統合）'!$B$21="○",1,"")</f>
        <v>1</v>
      </c>
      <c r="LV15" s="173" t="str">
        <f>IF('別紙２④（統合）'!$B$22="○",1,"")</f>
        <v/>
      </c>
      <c r="LW15" s="173">
        <f>IF('別紙２④（統合）'!$B$23="○",1,"")</f>
        <v>1</v>
      </c>
      <c r="LX15" s="173" t="str">
        <f>IF('別紙２④（統合）'!$H$20="○",1,"")</f>
        <v/>
      </c>
      <c r="LY15" s="173" t="str">
        <f>IF('別紙２④（統合）'!$H$21="○",1,"")</f>
        <v/>
      </c>
      <c r="LZ15" s="173">
        <f>IF('別紙２④（統合）'!$H$22="○",1,"")</f>
        <v>1</v>
      </c>
      <c r="MA15" s="173" t="str">
        <f>'別紙２④（統合）'!$J$23&amp;""</f>
        <v>農作業機械の老朽化及びオペレーターの不足</v>
      </c>
      <c r="MB15" s="173">
        <f>IF('別紙２④（統合）'!$B$29="○",1,"")</f>
        <v>1</v>
      </c>
      <c r="MC15" s="173" t="str">
        <f>IF('別紙２④（統合）'!$B$30="○",1,"")</f>
        <v/>
      </c>
      <c r="MD15" s="173">
        <f>IF('別紙２④（統合）'!$B$31="○",1,"")</f>
        <v>1</v>
      </c>
      <c r="ME15" s="173">
        <f>IF('別紙２④（統合）'!$B$32="○",1,"")</f>
        <v>1</v>
      </c>
      <c r="MF15" s="173">
        <f>IF('別紙２④（統合）'!$B$33="○",1,"")</f>
        <v>1</v>
      </c>
      <c r="MG15" s="173" t="str">
        <f>IF('別紙２④（統合）'!$H$29="○",1,"")</f>
        <v/>
      </c>
      <c r="MH15" s="173" t="str">
        <f>IF('別紙２④（統合）'!$H$30="○",1,"")</f>
        <v/>
      </c>
      <c r="MI15" s="173" t="str">
        <f>IF('別紙２④（統合）'!$H$31="○",1,"")</f>
        <v/>
      </c>
      <c r="MJ15" s="173">
        <f>IF('別紙２④（統合）'!$H$32="○",1,"")</f>
        <v>1</v>
      </c>
      <c r="MK15" s="173">
        <f>IF('別紙２④（統合）'!$H$33="○",1,"")</f>
        <v>1</v>
      </c>
      <c r="ML15" s="173" t="str">
        <f>IF('別紙２④（統合）'!$H$34="○",1,"")</f>
        <v/>
      </c>
      <c r="MM15" s="173" t="str">
        <f>'別紙２④（統合）'!$J$34&amp;""</f>
        <v>農作業機械のオペレーターの確保</v>
      </c>
      <c r="MN15" s="486"/>
      <c r="MO15" s="367">
        <f>MP15+MZ15</f>
        <v>0</v>
      </c>
      <c r="MP15" s="367">
        <f>SUM(MQ15:MY15)</f>
        <v>0</v>
      </c>
      <c r="MQ15" s="509"/>
      <c r="MR15" s="509"/>
      <c r="MS15" s="509"/>
      <c r="MT15" s="509"/>
      <c r="MU15" s="509"/>
      <c r="MV15" s="509"/>
      <c r="MW15" s="509"/>
      <c r="MX15" s="509"/>
      <c r="MY15" s="509"/>
      <c r="MZ15" s="367">
        <f>SUM(NA15:NI15)</f>
        <v>0</v>
      </c>
      <c r="NA15" s="509"/>
      <c r="NB15" s="509"/>
      <c r="NC15" s="509"/>
      <c r="ND15" s="509"/>
      <c r="NE15" s="509"/>
      <c r="NF15" s="509"/>
      <c r="NG15" s="509"/>
      <c r="NH15" s="509"/>
      <c r="NI15" s="509"/>
      <c r="NJ15" s="367">
        <f>NK15+NL15</f>
        <v>8</v>
      </c>
      <c r="NK15" s="483">
        <f>R15</f>
        <v>3</v>
      </c>
      <c r="NL15" s="170">
        <f>'別紙２⑤（多様な組織等の参画）'!G22</f>
        <v>5</v>
      </c>
      <c r="NM15" s="173">
        <f>IF('別紙２⑤（多様な組織等の参画）'!$B$31="○",1,"")</f>
        <v>1</v>
      </c>
      <c r="NN15" s="173">
        <f>IF('別紙２⑤（多様な組織等の参画）'!$B$32="○",1,"")</f>
        <v>1</v>
      </c>
      <c r="NO15" s="173" t="str">
        <f>IF('別紙２⑤（多様な組織等の参画）'!$B$33="○",1,"")</f>
        <v/>
      </c>
      <c r="NP15" s="173" t="str">
        <f>IF('別紙２⑤（多様な組織等の参画）'!$H$31="○",1,"")</f>
        <v/>
      </c>
      <c r="NQ15" s="173">
        <f>IF('別紙２⑤（多様な組織等の参画）'!$H$32="○",1,"")</f>
        <v>1</v>
      </c>
      <c r="NR15" s="173" t="str">
        <f>'別紙２⑤（多様な組織等の参画）'!$J$33&amp;""</f>
        <v>棚田の荒廃</v>
      </c>
      <c r="NS15" s="173">
        <f>IF('別紙２⑤（多様な組織等の参画）'!$B$39="○",1,"")</f>
        <v>1</v>
      </c>
      <c r="NT15" s="173">
        <f>IF('別紙２⑤（多様な組織等の参画）'!$B$40="○",1,"")</f>
        <v>1</v>
      </c>
      <c r="NU15" s="173" t="str">
        <f>IF('別紙２⑤（多様な組織等の参画）'!$B$41="○",1,"")</f>
        <v/>
      </c>
      <c r="NV15" s="173">
        <f>IF('別紙２⑤（多様な組織等の参画）'!$B$42="○",1,"")</f>
        <v>1</v>
      </c>
      <c r="NW15" s="173" t="str">
        <f>IF('別紙２⑤（多様な組織等の参画）'!$B$43="○",1,"")</f>
        <v/>
      </c>
      <c r="NX15" s="173" t="str">
        <f>IF('別紙２⑤（多様な組織等の参画）'!$H$39="○",1,"")</f>
        <v/>
      </c>
      <c r="NY15" s="173">
        <f>IF('別紙２⑤（多様な組織等の参画）'!$H$40="○",1,"")</f>
        <v>1</v>
      </c>
      <c r="NZ15" s="173">
        <f>IF('別紙２⑤（多様な組織等の参画）'!$H$41="○",1,"")</f>
        <v>1</v>
      </c>
      <c r="OA15" s="173" t="str">
        <f>'別紙２⑤（多様な組織等の参画）'!$J$42&amp;""</f>
        <v>棚田資源を活かした振興活動</v>
      </c>
      <c r="OB15" s="509"/>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32</vt:i4>
      </vt:variant>
    </vt:vector>
  </HeadingPairs>
  <TitlesOfParts>
    <vt:vector size="60"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参12</vt:lpstr>
      <vt:lpstr>参13</vt:lpstr>
      <vt:lpstr>参14</vt:lpstr>
      <vt:lpstr>活動記録（参考） </vt:lpstr>
      <vt:lpstr>【選択肢】</vt:lpstr>
      <vt:lpstr>支出に係る届出</vt:lpstr>
      <vt:lpstr>実施状況報告（様式2）</vt:lpstr>
      <vt:lpstr>【選択肢】!Print_Area</vt:lpstr>
      <vt:lpstr>はじめに!Print_Area</vt:lpstr>
      <vt:lpstr>参12!Print_Area</vt:lpstr>
      <vt:lpstr>参13!Print_Area</vt:lpstr>
      <vt:lpstr>参14!Print_Area</vt:lpstr>
      <vt:lpstr>参４_申請!Print_Area</vt:lpstr>
      <vt:lpstr>参４_申請_事業計画!Print_Area</vt:lpstr>
      <vt:lpstr>支出に係る届出!Print_Area</vt:lpstr>
      <vt:lpstr>'実施状況報告（様式2）'!Print_Area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別紙２①!Print_Titles</vt:lpstr>
      <vt:lpstr>別紙７!Print_Titles</vt:lpstr>
      <vt:lpstr>採草放牧地</vt:lpstr>
      <vt:lpstr>草地</vt:lpstr>
      <vt:lpstr>地目</vt:lpstr>
      <vt:lpstr>田</vt:lpstr>
      <vt:lpstr>畑</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2025-05-13T08:44:46Z</dcterms:created>
  <dcterms:modified xsi:type="dcterms:W3CDTF">2025-06-07T07:03:58Z</dcterms:modified>
  <cp:category/>
  <cp:contentStatus/>
</cp:coreProperties>
</file>